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leks/Desktop/luis/"/>
    </mc:Choice>
  </mc:AlternateContent>
  <xr:revisionPtr revIDLastSave="0" documentId="13_ncr:1_{B9B0BAE0-EEAC-FA45-8749-FEB3E97524A5}" xr6:coauthVersionLast="47" xr6:coauthVersionMax="47" xr10:uidLastSave="{00000000-0000-0000-0000-000000000000}"/>
  <bookViews>
    <workbookView xWindow="0" yWindow="500" windowWidth="28800" windowHeight="16580" activeTab="1" xr2:uid="{00000000-000D-0000-FFFF-FFFF00000000}"/>
  </bookViews>
  <sheets>
    <sheet name="Техданные" sheetId="8" r:id="rId1"/>
    <sheet name="Расчет" sheetId="1" r:id="rId2"/>
    <sheet name="Оценка сетки" sheetId="6" r:id="rId3"/>
    <sheet name="Оценка лазера" sheetId="2" r:id="rId4"/>
    <sheet name="Оценка фрезеровки" sheetId="4" r:id="rId5"/>
    <sheet name="Прайс Лазер" sheetId="5" r:id="rId6"/>
    <sheet name="СПЕЦИФИКАЦИЯ ПРОЕКТА" sheetId="7" r:id="rId7"/>
  </sheets>
  <definedNames>
    <definedName name="_xlnm.Print_Area" localSheetId="6">'СПЕЦИФИКАЦИЯ ПРОЕКТА'!$A$1:$CG$76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1" l="1"/>
  <c r="F53" i="1"/>
  <c r="CF66" i="7" l="1"/>
  <c r="CG66" i="7" s="1"/>
  <c r="AD66" i="7"/>
  <c r="AD65" i="7"/>
  <c r="CF64" i="7"/>
  <c r="CG64" i="7" s="1"/>
  <c r="AD64" i="7"/>
  <c r="CF63" i="7"/>
  <c r="CG63" i="7" s="1"/>
  <c r="AD63" i="7"/>
  <c r="CF62" i="7"/>
  <c r="CG62" i="7" s="1"/>
  <c r="AD62" i="7"/>
  <c r="CF61" i="7"/>
  <c r="CG61" i="7" s="1"/>
  <c r="AD61" i="7"/>
  <c r="CF60" i="7"/>
  <c r="CG60" i="7" s="1"/>
  <c r="AD60" i="7"/>
  <c r="CF59" i="7"/>
  <c r="CG59" i="7" s="1"/>
  <c r="AD59" i="7"/>
  <c r="CF58" i="7"/>
  <c r="CG58" i="7" s="1"/>
  <c r="AD58" i="7"/>
  <c r="CF57" i="7"/>
  <c r="CG57" i="7" s="1"/>
  <c r="AD57" i="7"/>
  <c r="CF56" i="7"/>
  <c r="CG56" i="7" s="1"/>
  <c r="AD56" i="7"/>
  <c r="CF55" i="7"/>
  <c r="CG55" i="7" s="1"/>
  <c r="AD55" i="7"/>
  <c r="CF54" i="7"/>
  <c r="CG54" i="7" s="1"/>
  <c r="AD54" i="7"/>
  <c r="CF53" i="7"/>
  <c r="CG53" i="7" s="1"/>
  <c r="AD53" i="7"/>
  <c r="CF52" i="7"/>
  <c r="CG52" i="7" s="1"/>
  <c r="AD52" i="7"/>
  <c r="AD51" i="7"/>
  <c r="CF50" i="7"/>
  <c r="CG50" i="7" s="1"/>
  <c r="AD50" i="7"/>
  <c r="CF49" i="7"/>
  <c r="CG49" i="7" s="1"/>
  <c r="AD49" i="7"/>
  <c r="CF48" i="7"/>
  <c r="CG48" i="7" s="1"/>
  <c r="AD48" i="7"/>
  <c r="CF47" i="7"/>
  <c r="CG47" i="7" s="1"/>
  <c r="AD47" i="7"/>
  <c r="AD46" i="7"/>
  <c r="CF45" i="7"/>
  <c r="CG45" i="7" s="1"/>
  <c r="AD45" i="7"/>
  <c r="CF44" i="7"/>
  <c r="CG44" i="7" s="1"/>
  <c r="AD44" i="7"/>
  <c r="CF43" i="7"/>
  <c r="CG43" i="7" s="1"/>
  <c r="AD43" i="7"/>
  <c r="CF42" i="7"/>
  <c r="CG42" i="7" s="1"/>
  <c r="AD42" i="7"/>
  <c r="CF41" i="7"/>
  <c r="CG41" i="7" s="1"/>
  <c r="AD41" i="7"/>
  <c r="CF40" i="7"/>
  <c r="CG40" i="7" s="1"/>
  <c r="AD40" i="7"/>
  <c r="CF39" i="7"/>
  <c r="CG39" i="7" s="1"/>
  <c r="AD39" i="7"/>
  <c r="CF38" i="7"/>
  <c r="CG38" i="7" s="1"/>
  <c r="AD38" i="7"/>
  <c r="CF37" i="7"/>
  <c r="CG37" i="7" s="1"/>
  <c r="AD37" i="7"/>
  <c r="CF36" i="7"/>
  <c r="CG36" i="7" s="1"/>
  <c r="AD36" i="7"/>
  <c r="AD35" i="7"/>
  <c r="CF34" i="7"/>
  <c r="CG34" i="7" s="1"/>
  <c r="AD34" i="7"/>
  <c r="CF33" i="7"/>
  <c r="CG33" i="7" s="1"/>
  <c r="AD33" i="7"/>
  <c r="CF32" i="7"/>
  <c r="CG32" i="7" s="1"/>
  <c r="AD32" i="7"/>
  <c r="CF31" i="7"/>
  <c r="CG31" i="7" s="1"/>
  <c r="AD31" i="7"/>
  <c r="CF30" i="7"/>
  <c r="CG30" i="7" s="1"/>
  <c r="AD30" i="7"/>
  <c r="CF29" i="7"/>
  <c r="CG29" i="7" s="1"/>
  <c r="AD29" i="7"/>
  <c r="CF28" i="7"/>
  <c r="CG28" i="7" s="1"/>
  <c r="AD28" i="7"/>
  <c r="CF27" i="7"/>
  <c r="CG27" i="7" s="1"/>
  <c r="AD27" i="7"/>
  <c r="CF26" i="7"/>
  <c r="CG26" i="7" s="1"/>
  <c r="AD26" i="7"/>
  <c r="CF25" i="7"/>
  <c r="CG25" i="7" s="1"/>
  <c r="AD25" i="7"/>
  <c r="CF24" i="7"/>
  <c r="CG24" i="7" s="1"/>
  <c r="AD24" i="7"/>
  <c r="CF23" i="7"/>
  <c r="CG23" i="7" s="1"/>
  <c r="AD23" i="7"/>
  <c r="CF22" i="7"/>
  <c r="CG22" i="7" s="1"/>
  <c r="AD22" i="7"/>
  <c r="CF21" i="7"/>
  <c r="CG21" i="7" s="1"/>
  <c r="AD21" i="7"/>
  <c r="CF20" i="7"/>
  <c r="CG20" i="7" s="1"/>
  <c r="AD20" i="7"/>
  <c r="CF19" i="7"/>
  <c r="CG19" i="7" s="1"/>
  <c r="AD19" i="7"/>
  <c r="CF18" i="7"/>
  <c r="CG18" i="7" s="1"/>
  <c r="AD18" i="7"/>
  <c r="CF17" i="7"/>
  <c r="CG17" i="7" s="1"/>
  <c r="AD17" i="7"/>
  <c r="CF16" i="7"/>
  <c r="CG16" i="7" s="1"/>
  <c r="AD16" i="7"/>
  <c r="CF15" i="7"/>
  <c r="CG15" i="7" s="1"/>
  <c r="AD15" i="7"/>
  <c r="CF14" i="7"/>
  <c r="CG14" i="7" s="1"/>
  <c r="AD14" i="7"/>
  <c r="CF13" i="7"/>
  <c r="CG13" i="7" s="1"/>
  <c r="AD13" i="7"/>
  <c r="CF12" i="7"/>
  <c r="CG12" i="7" s="1"/>
  <c r="AD12" i="7"/>
  <c r="H44" i="1"/>
  <c r="H43" i="1"/>
  <c r="H42" i="1"/>
  <c r="H41" i="1"/>
  <c r="H40" i="1"/>
  <c r="H39" i="1"/>
  <c r="H38" i="1"/>
  <c r="H37" i="1"/>
  <c r="H36" i="1"/>
  <c r="H35" i="1"/>
  <c r="H34" i="1"/>
  <c r="H33" i="1"/>
  <c r="H32" i="1"/>
  <c r="H31" i="1"/>
  <c r="H30" i="1"/>
  <c r="H29" i="1"/>
  <c r="H28" i="1"/>
  <c r="H27" i="1"/>
  <c r="Q33" i="5" l="1"/>
  <c r="T29" i="5"/>
  <c r="T28" i="5"/>
  <c r="T27" i="5"/>
  <c r="S29" i="5"/>
  <c r="S28" i="5"/>
  <c r="S27" i="5"/>
  <c r="R29" i="5"/>
  <c r="R28" i="5"/>
  <c r="R27" i="5"/>
  <c r="Q30" i="5"/>
  <c r="Q29" i="5"/>
  <c r="Q28" i="5"/>
  <c r="Q27" i="5"/>
  <c r="P33" i="5"/>
  <c r="P32" i="5"/>
  <c r="P31" i="5"/>
  <c r="P30" i="5"/>
  <c r="P29" i="5"/>
  <c r="P28" i="5"/>
  <c r="P27" i="5"/>
  <c r="O33" i="5"/>
  <c r="O32" i="5"/>
  <c r="O31" i="5"/>
  <c r="O30" i="5"/>
  <c r="O29" i="5"/>
  <c r="O28" i="5"/>
  <c r="O27" i="5"/>
  <c r="N33" i="5"/>
  <c r="N32" i="5"/>
  <c r="N31" i="5"/>
  <c r="N30" i="5"/>
  <c r="N29" i="5"/>
  <c r="N28" i="5"/>
  <c r="N27" i="5"/>
  <c r="M33" i="5"/>
  <c r="M32" i="5"/>
  <c r="M31" i="5"/>
  <c r="M30" i="5"/>
  <c r="M29" i="5"/>
  <c r="M28" i="5"/>
  <c r="M27" i="5"/>
  <c r="L33" i="5"/>
  <c r="L32" i="5"/>
  <c r="L31" i="5"/>
  <c r="L30" i="5"/>
  <c r="L29" i="5"/>
  <c r="L28" i="5"/>
  <c r="L27" i="5"/>
  <c r="K33" i="5"/>
  <c r="K32" i="5"/>
  <c r="K31" i="5"/>
  <c r="K30" i="5"/>
  <c r="K29" i="5"/>
  <c r="K28" i="5"/>
  <c r="K27" i="5"/>
  <c r="J32" i="5"/>
  <c r="J31" i="5"/>
  <c r="J29" i="5"/>
  <c r="J28" i="5"/>
  <c r="J27" i="5"/>
  <c r="J33" i="5"/>
  <c r="J30" i="5"/>
  <c r="I33" i="5"/>
  <c r="I32" i="5"/>
  <c r="I31" i="5"/>
  <c r="I30" i="5"/>
  <c r="I28" i="5"/>
  <c r="I29" i="5"/>
  <c r="I27" i="5"/>
  <c r="H33" i="5"/>
  <c r="H32" i="5"/>
  <c r="H31" i="5"/>
  <c r="H30" i="5"/>
  <c r="G33" i="5"/>
  <c r="G32" i="5"/>
  <c r="G31" i="5"/>
  <c r="H29" i="5"/>
  <c r="H28" i="5"/>
  <c r="H27" i="5"/>
  <c r="G30" i="5"/>
  <c r="G29" i="5"/>
  <c r="G28" i="5"/>
  <c r="G27" i="5"/>
  <c r="F33" i="5"/>
  <c r="F30" i="5"/>
  <c r="F29" i="5"/>
  <c r="F28" i="5"/>
  <c r="F27" i="5"/>
  <c r="E29" i="5"/>
  <c r="E28" i="5"/>
  <c r="E27" i="5"/>
  <c r="E32" i="5"/>
  <c r="E31" i="5"/>
  <c r="E30" i="5"/>
  <c r="E33" i="5"/>
  <c r="D33" i="5"/>
  <c r="C33" i="5"/>
  <c r="D30" i="5"/>
  <c r="C30" i="5"/>
  <c r="D27" i="5"/>
  <c r="D29" i="5"/>
  <c r="C29" i="5"/>
  <c r="D28" i="5"/>
  <c r="C28" i="5"/>
  <c r="C27" i="5"/>
  <c r="J21" i="5"/>
  <c r="J20" i="5"/>
  <c r="J19" i="5"/>
  <c r="J18" i="5"/>
  <c r="J17" i="5"/>
  <c r="J16" i="5"/>
  <c r="J15" i="5"/>
  <c r="J14" i="5"/>
  <c r="J13" i="5"/>
  <c r="J12" i="5"/>
  <c r="J11" i="5"/>
  <c r="J10" i="5"/>
  <c r="J9" i="5"/>
  <c r="J8" i="5"/>
  <c r="J7" i="5"/>
  <c r="J6" i="5"/>
  <c r="J5" i="5"/>
  <c r="J4" i="5"/>
  <c r="M408" i="1" l="1"/>
  <c r="M399" i="1"/>
  <c r="M390" i="1"/>
  <c r="M381" i="1"/>
  <c r="M372" i="1"/>
  <c r="M363" i="1"/>
  <c r="M354" i="1"/>
  <c r="M345" i="1"/>
  <c r="M336" i="1"/>
  <c r="M327" i="1"/>
  <c r="M318" i="1"/>
  <c r="M309" i="1"/>
  <c r="M300" i="1"/>
  <c r="M291" i="1"/>
  <c r="M282" i="1"/>
  <c r="M273" i="1"/>
  <c r="M264" i="1"/>
  <c r="M253" i="1"/>
  <c r="M244" i="1"/>
  <c r="M235" i="1"/>
  <c r="M226" i="1"/>
  <c r="M217" i="1"/>
  <c r="M208" i="1"/>
  <c r="M199" i="1"/>
  <c r="M185" i="1"/>
  <c r="M176" i="1"/>
  <c r="M167" i="1"/>
  <c r="M158" i="1"/>
  <c r="M149" i="1"/>
  <c r="M138" i="1"/>
  <c r="M128" i="1"/>
  <c r="M119" i="1"/>
  <c r="J66" i="1" l="1"/>
  <c r="L66" i="1" s="1"/>
  <c r="F128" i="1"/>
  <c r="G128" i="1" s="1"/>
  <c r="H128" i="1"/>
  <c r="F129" i="1"/>
  <c r="H129" i="1"/>
  <c r="F138" i="1"/>
  <c r="G138" i="1" s="1"/>
  <c r="H138" i="1"/>
  <c r="F139" i="1"/>
  <c r="G139" i="1" s="1"/>
  <c r="H139" i="1"/>
  <c r="F149" i="1"/>
  <c r="G149" i="1" s="1"/>
  <c r="H149" i="1"/>
  <c r="F150" i="1"/>
  <c r="H150" i="1"/>
  <c r="F158" i="1"/>
  <c r="G158" i="1"/>
  <c r="H158" i="1"/>
  <c r="F159" i="1"/>
  <c r="G159" i="1" s="1"/>
  <c r="H159" i="1"/>
  <c r="F167" i="1"/>
  <c r="G167" i="1" s="1"/>
  <c r="H167" i="1"/>
  <c r="F168" i="1"/>
  <c r="H168" i="1"/>
  <c r="F176" i="1"/>
  <c r="H176" i="1"/>
  <c r="F177" i="1"/>
  <c r="G177" i="1" s="1"/>
  <c r="H177" i="1"/>
  <c r="F185" i="1"/>
  <c r="G185" i="1" s="1"/>
  <c r="H185" i="1"/>
  <c r="F186" i="1"/>
  <c r="H186" i="1"/>
  <c r="F199" i="1"/>
  <c r="G199" i="1" s="1"/>
  <c r="H199" i="1"/>
  <c r="F200" i="1"/>
  <c r="G200" i="1" s="1"/>
  <c r="H200" i="1"/>
  <c r="F208" i="1"/>
  <c r="G208" i="1" s="1"/>
  <c r="H208" i="1"/>
  <c r="F209" i="1"/>
  <c r="H209" i="1"/>
  <c r="F217" i="1"/>
  <c r="G217" i="1" s="1"/>
  <c r="H217" i="1"/>
  <c r="F218" i="1"/>
  <c r="G218" i="1" s="1"/>
  <c r="H218" i="1"/>
  <c r="F226" i="1"/>
  <c r="G226" i="1" s="1"/>
  <c r="H226" i="1"/>
  <c r="F227" i="1"/>
  <c r="H227" i="1"/>
  <c r="F235" i="1"/>
  <c r="H235" i="1"/>
  <c r="F236" i="1"/>
  <c r="G236" i="1" s="1"/>
  <c r="H236" i="1"/>
  <c r="F244" i="1"/>
  <c r="G244" i="1" s="1"/>
  <c r="H244" i="1"/>
  <c r="F245" i="1"/>
  <c r="H245" i="1"/>
  <c r="F253" i="1"/>
  <c r="G253" i="1" s="1"/>
  <c r="H253" i="1"/>
  <c r="F254" i="1"/>
  <c r="G254" i="1" s="1"/>
  <c r="H254" i="1"/>
  <c r="F264" i="1"/>
  <c r="H264" i="1"/>
  <c r="F265" i="1"/>
  <c r="H265" i="1"/>
  <c r="F273" i="1"/>
  <c r="G273" i="1"/>
  <c r="H273" i="1"/>
  <c r="F274" i="1"/>
  <c r="G274" i="1" s="1"/>
  <c r="H274" i="1"/>
  <c r="F282" i="1"/>
  <c r="G282" i="1" s="1"/>
  <c r="H282" i="1"/>
  <c r="F283" i="1"/>
  <c r="H283" i="1"/>
  <c r="F291" i="1"/>
  <c r="G291" i="1" s="1"/>
  <c r="H291" i="1"/>
  <c r="F292" i="1"/>
  <c r="G292" i="1" s="1"/>
  <c r="H292" i="1"/>
  <c r="F300" i="1"/>
  <c r="G300" i="1" s="1"/>
  <c r="H300" i="1"/>
  <c r="F301" i="1"/>
  <c r="H301" i="1"/>
  <c r="F309" i="1"/>
  <c r="G309" i="1" s="1"/>
  <c r="H309" i="1"/>
  <c r="F310" i="1"/>
  <c r="G310" i="1" s="1"/>
  <c r="H310" i="1"/>
  <c r="F318" i="1"/>
  <c r="G318" i="1" s="1"/>
  <c r="H318" i="1"/>
  <c r="F319" i="1"/>
  <c r="H319" i="1"/>
  <c r="F327" i="1"/>
  <c r="H327" i="1"/>
  <c r="F328" i="1"/>
  <c r="G328" i="1" s="1"/>
  <c r="H328" i="1"/>
  <c r="F336" i="1"/>
  <c r="G336" i="1" s="1"/>
  <c r="H336" i="1"/>
  <c r="F337" i="1"/>
  <c r="H337" i="1"/>
  <c r="F345" i="1"/>
  <c r="G345" i="1" s="1"/>
  <c r="H345" i="1"/>
  <c r="F346" i="1"/>
  <c r="G346" i="1" s="1"/>
  <c r="H346" i="1"/>
  <c r="F354" i="1"/>
  <c r="G354" i="1"/>
  <c r="H354" i="1"/>
  <c r="F355" i="1"/>
  <c r="H355" i="1"/>
  <c r="F363" i="1"/>
  <c r="G363" i="1" s="1"/>
  <c r="H363" i="1"/>
  <c r="F364" i="1"/>
  <c r="G364" i="1" s="1"/>
  <c r="H364" i="1"/>
  <c r="F372" i="1"/>
  <c r="G372" i="1" s="1"/>
  <c r="H372" i="1"/>
  <c r="F373" i="1"/>
  <c r="H373" i="1"/>
  <c r="F381" i="1"/>
  <c r="H381" i="1"/>
  <c r="F382" i="1"/>
  <c r="G382" i="1" s="1"/>
  <c r="H382" i="1"/>
  <c r="F390" i="1"/>
  <c r="G390" i="1" s="1"/>
  <c r="H390" i="1"/>
  <c r="F391" i="1"/>
  <c r="H391" i="1"/>
  <c r="F399" i="1"/>
  <c r="G399" i="1"/>
  <c r="H399" i="1"/>
  <c r="F400" i="1"/>
  <c r="G400" i="1" s="1"/>
  <c r="H400" i="1"/>
  <c r="F408" i="1"/>
  <c r="H408" i="1"/>
  <c r="F409" i="1"/>
  <c r="H409" i="1"/>
  <c r="I408" i="1" l="1"/>
  <c r="J408" i="1" s="1"/>
  <c r="I273" i="1"/>
  <c r="J273" i="1" s="1"/>
  <c r="I318" i="1"/>
  <c r="J318" i="1" s="1"/>
  <c r="I327" i="1"/>
  <c r="J327" i="1" s="1"/>
  <c r="K310" i="1"/>
  <c r="I254" i="1"/>
  <c r="J254" i="1" s="1"/>
  <c r="I235" i="1"/>
  <c r="J235" i="1" s="1"/>
  <c r="I208" i="1"/>
  <c r="J208" i="1" s="1"/>
  <c r="K200" i="1"/>
  <c r="G408" i="1"/>
  <c r="I391" i="1"/>
  <c r="J391" i="1" s="1"/>
  <c r="I345" i="1"/>
  <c r="J345" i="1" s="1"/>
  <c r="I274" i="1"/>
  <c r="J274" i="1" s="1"/>
  <c r="I176" i="1"/>
  <c r="J176" i="1" s="1"/>
  <c r="I167" i="1"/>
  <c r="J167" i="1" s="1"/>
  <c r="K159" i="1"/>
  <c r="I128" i="1"/>
  <c r="J128" i="1" s="1"/>
  <c r="I381" i="1"/>
  <c r="J381" i="1" s="1"/>
  <c r="I264" i="1"/>
  <c r="J264" i="1" s="1"/>
  <c r="L265" i="1" s="1"/>
  <c r="I245" i="1"/>
  <c r="J245" i="1" s="1"/>
  <c r="I354" i="1"/>
  <c r="J354" i="1" s="1"/>
  <c r="K346" i="1"/>
  <c r="I199" i="1"/>
  <c r="J199" i="1" s="1"/>
  <c r="L274" i="1"/>
  <c r="I409" i="1"/>
  <c r="J409" i="1" s="1"/>
  <c r="L409" i="1" s="1"/>
  <c r="I399" i="1"/>
  <c r="J399" i="1" s="1"/>
  <c r="I336" i="1"/>
  <c r="J336" i="1" s="1"/>
  <c r="I319" i="1"/>
  <c r="I309" i="1"/>
  <c r="J309" i="1" s="1"/>
  <c r="I253" i="1"/>
  <c r="J253" i="1" s="1"/>
  <c r="I185" i="1"/>
  <c r="J185" i="1" s="1"/>
  <c r="I168" i="1"/>
  <c r="I158" i="1"/>
  <c r="J158" i="1" s="1"/>
  <c r="I282" i="1"/>
  <c r="J282" i="1" s="1"/>
  <c r="L283" i="1" s="1"/>
  <c r="I390" i="1"/>
  <c r="J390" i="1" s="1"/>
  <c r="L391" i="1" s="1"/>
  <c r="G381" i="1"/>
  <c r="K382" i="1" s="1"/>
  <c r="I346" i="1"/>
  <c r="J346" i="1" s="1"/>
  <c r="I328" i="1"/>
  <c r="J328" i="1" s="1"/>
  <c r="G327" i="1"/>
  <c r="K328" i="1" s="1"/>
  <c r="G264" i="1"/>
  <c r="I244" i="1"/>
  <c r="G235" i="1"/>
  <c r="K236" i="1" s="1"/>
  <c r="I200" i="1"/>
  <c r="J200" i="1" s="1"/>
  <c r="I177" i="1"/>
  <c r="J177" i="1" s="1"/>
  <c r="G176" i="1"/>
  <c r="K177" i="1" s="1"/>
  <c r="L254" i="1"/>
  <c r="I291" i="1"/>
  <c r="J291" i="1" s="1"/>
  <c r="I265" i="1"/>
  <c r="J265" i="1" s="1"/>
  <c r="I217" i="1"/>
  <c r="J217" i="1" s="1"/>
  <c r="I138" i="1"/>
  <c r="J138" i="1" s="1"/>
  <c r="I300" i="1"/>
  <c r="I226" i="1"/>
  <c r="J226" i="1" s="1"/>
  <c r="I149" i="1"/>
  <c r="J149" i="1" s="1"/>
  <c r="I129" i="1"/>
  <c r="K400" i="1"/>
  <c r="I372" i="1"/>
  <c r="J372" i="1" s="1"/>
  <c r="I363" i="1"/>
  <c r="J363" i="1" s="1"/>
  <c r="I337" i="1"/>
  <c r="J337" i="1" s="1"/>
  <c r="I186" i="1"/>
  <c r="J186" i="1" s="1"/>
  <c r="I364" i="1"/>
  <c r="J364" i="1" s="1"/>
  <c r="I355" i="1"/>
  <c r="J355" i="1" s="1"/>
  <c r="I292" i="1"/>
  <c r="J292" i="1" s="1"/>
  <c r="I283" i="1"/>
  <c r="J283" i="1" s="1"/>
  <c r="I218" i="1"/>
  <c r="J218" i="1" s="1"/>
  <c r="I209" i="1"/>
  <c r="I139" i="1"/>
  <c r="J139" i="1" s="1"/>
  <c r="G409" i="1"/>
  <c r="I400" i="1"/>
  <c r="G391" i="1"/>
  <c r="K391" i="1" s="1"/>
  <c r="I382" i="1"/>
  <c r="J382" i="1" s="1"/>
  <c r="I373" i="1"/>
  <c r="J373" i="1" s="1"/>
  <c r="I310" i="1"/>
  <c r="J310" i="1" s="1"/>
  <c r="I301" i="1"/>
  <c r="J301" i="1" s="1"/>
  <c r="I236" i="1"/>
  <c r="J236" i="1" s="1"/>
  <c r="I227" i="1"/>
  <c r="J227" i="1" s="1"/>
  <c r="I159" i="1"/>
  <c r="J159" i="1" s="1"/>
  <c r="I150" i="1"/>
  <c r="K254" i="1"/>
  <c r="K364" i="1"/>
  <c r="K274" i="1"/>
  <c r="K218" i="1"/>
  <c r="L355" i="1"/>
  <c r="K292" i="1"/>
  <c r="K139" i="1"/>
  <c r="G373" i="1"/>
  <c r="K373" i="1" s="1"/>
  <c r="G355" i="1"/>
  <c r="K355" i="1" s="1"/>
  <c r="G337" i="1"/>
  <c r="K337" i="1" s="1"/>
  <c r="G319" i="1"/>
  <c r="K319" i="1" s="1"/>
  <c r="G301" i="1"/>
  <c r="K301" i="1" s="1"/>
  <c r="G283" i="1"/>
  <c r="K283" i="1" s="1"/>
  <c r="G265" i="1"/>
  <c r="G245" i="1"/>
  <c r="K245" i="1" s="1"/>
  <c r="G227" i="1"/>
  <c r="K227" i="1" s="1"/>
  <c r="G209" i="1"/>
  <c r="K209" i="1" s="1"/>
  <c r="G186" i="1"/>
  <c r="K186" i="1" s="1"/>
  <c r="G168" i="1"/>
  <c r="K168" i="1" s="1"/>
  <c r="G150" i="1"/>
  <c r="K150" i="1" s="1"/>
  <c r="G129" i="1"/>
  <c r="K129" i="1" s="1"/>
  <c r="L328" i="1" l="1"/>
  <c r="L346" i="1"/>
  <c r="K265" i="1"/>
  <c r="K409" i="1"/>
  <c r="L200" i="1"/>
  <c r="L177" i="1"/>
  <c r="J244" i="1"/>
  <c r="L245" i="1" s="1"/>
  <c r="J300" i="1"/>
  <c r="L301" i="1" s="1"/>
  <c r="J150" i="1"/>
  <c r="L150" i="1" s="1"/>
  <c r="J209" i="1"/>
  <c r="L209" i="1" s="1"/>
  <c r="J129" i="1"/>
  <c r="L129" i="1" s="1"/>
  <c r="J168" i="1"/>
  <c r="L168" i="1" s="1"/>
  <c r="J319" i="1"/>
  <c r="L319" i="1" s="1"/>
  <c r="J400" i="1"/>
  <c r="L400" i="1" s="1"/>
  <c r="L236" i="1"/>
  <c r="L382" i="1"/>
  <c r="L337" i="1"/>
  <c r="L292" i="1"/>
  <c r="L159" i="1"/>
  <c r="L310" i="1"/>
  <c r="L186" i="1"/>
  <c r="L364" i="1"/>
  <c r="L139" i="1"/>
  <c r="L373" i="1"/>
  <c r="L218" i="1"/>
  <c r="L227" i="1"/>
  <c r="H120" i="1"/>
  <c r="F120" i="1" l="1"/>
  <c r="I120" i="1" s="1"/>
  <c r="F119" i="1"/>
  <c r="G119" i="1" l="1"/>
  <c r="H56" i="1"/>
  <c r="F59" i="1" l="1"/>
  <c r="G61" i="1" l="1"/>
  <c r="G60" i="1"/>
  <c r="G59" i="1"/>
  <c r="G58" i="1"/>
  <c r="G57" i="1"/>
  <c r="G56" i="1"/>
  <c r="G55" i="1"/>
  <c r="G54" i="1"/>
  <c r="G53" i="1"/>
  <c r="H119" i="1" l="1"/>
  <c r="I119" i="1" s="1"/>
  <c r="J119" i="1" s="1"/>
  <c r="F2" i="4" l="1"/>
  <c r="N2" i="4" s="1"/>
  <c r="F3" i="4"/>
  <c r="F4" i="4"/>
  <c r="N4" i="4" s="1"/>
  <c r="F5" i="4"/>
  <c r="N5" i="4" s="1"/>
  <c r="F6" i="4"/>
  <c r="N6" i="4" s="1"/>
  <c r="F7" i="4"/>
  <c r="N7" i="4" s="1"/>
  <c r="F8" i="4"/>
  <c r="N8" i="4" s="1"/>
  <c r="F9" i="4"/>
  <c r="N9" i="4" s="1"/>
  <c r="F10" i="4"/>
  <c r="F11" i="4"/>
  <c r="F12" i="4"/>
  <c r="F13" i="4"/>
  <c r="N13" i="4" s="1"/>
  <c r="F14" i="4"/>
  <c r="F15" i="4"/>
  <c r="N15" i="4" s="1"/>
  <c r="F16" i="4"/>
  <c r="N16" i="4" s="1"/>
  <c r="F17" i="4"/>
  <c r="N17" i="4" s="1"/>
  <c r="F18" i="4"/>
  <c r="F19" i="4"/>
  <c r="F20" i="4"/>
  <c r="F21" i="4"/>
  <c r="N21" i="4" s="1"/>
  <c r="F22" i="4"/>
  <c r="F23" i="4"/>
  <c r="F24" i="4"/>
  <c r="N24" i="4" s="1"/>
  <c r="F25" i="4"/>
  <c r="N25" i="4" s="1"/>
  <c r="F26" i="4"/>
  <c r="F27" i="4"/>
  <c r="F28" i="4"/>
  <c r="F29" i="4"/>
  <c r="N29" i="4" s="1"/>
  <c r="F30" i="4"/>
  <c r="N30" i="4" s="1"/>
  <c r="F31" i="4"/>
  <c r="N31" i="4" s="1"/>
  <c r="F32" i="4"/>
  <c r="N32" i="4" s="1"/>
  <c r="F33" i="4"/>
  <c r="N33" i="4" s="1"/>
  <c r="F34" i="4"/>
  <c r="F35" i="4"/>
  <c r="F36" i="4"/>
  <c r="F37" i="4"/>
  <c r="N37" i="4" s="1"/>
  <c r="F38" i="4"/>
  <c r="F39" i="4"/>
  <c r="N39" i="4" s="1"/>
  <c r="F40" i="4"/>
  <c r="F41" i="4"/>
  <c r="N41" i="4" s="1"/>
  <c r="F42" i="4"/>
  <c r="F43" i="4"/>
  <c r="F44" i="4"/>
  <c r="F45" i="4"/>
  <c r="F46" i="4"/>
  <c r="F47" i="4"/>
  <c r="F48" i="4"/>
  <c r="F49" i="4"/>
  <c r="N49" i="4" s="1"/>
  <c r="F50" i="4"/>
  <c r="F51" i="4"/>
  <c r="N40" i="4"/>
  <c r="N48" i="4"/>
  <c r="N3" i="4"/>
  <c r="N10" i="4"/>
  <c r="N11" i="4"/>
  <c r="N12" i="4"/>
  <c r="N14" i="4"/>
  <c r="N18" i="4"/>
  <c r="N19" i="4"/>
  <c r="N20" i="4"/>
  <c r="N22" i="4"/>
  <c r="N23" i="4"/>
  <c r="N26" i="4"/>
  <c r="N27" i="4"/>
  <c r="N28" i="4"/>
  <c r="N34" i="4"/>
  <c r="N35" i="4"/>
  <c r="N36" i="4"/>
  <c r="N38" i="4"/>
  <c r="N42" i="4"/>
  <c r="N43" i="4"/>
  <c r="N44" i="4"/>
  <c r="N45" i="4"/>
  <c r="N46" i="4"/>
  <c r="N47" i="4"/>
  <c r="N50" i="4"/>
  <c r="N51" i="4"/>
  <c r="H52" i="1" l="1"/>
  <c r="B19" i="6"/>
  <c r="K43" i="6"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R18" i="2" l="1"/>
  <c r="S18" i="2"/>
  <c r="Q18" i="2"/>
  <c r="R17" i="2"/>
  <c r="S17" i="2"/>
  <c r="Q17" i="2"/>
  <c r="R16" i="2"/>
  <c r="Q16" i="2"/>
  <c r="R15" i="2"/>
  <c r="S15" i="2"/>
  <c r="Q15" i="2"/>
  <c r="R14" i="2"/>
  <c r="S14" i="2"/>
  <c r="Q14" i="2"/>
  <c r="R13" i="2"/>
  <c r="Q13" i="2"/>
  <c r="R12" i="2"/>
  <c r="Q12" i="2"/>
  <c r="R11" i="2"/>
  <c r="Q11" i="2"/>
  <c r="R10" i="2"/>
  <c r="Q10" i="2"/>
  <c r="R9" i="2"/>
  <c r="Q9" i="2"/>
  <c r="R8" i="2"/>
  <c r="Q8" i="2"/>
  <c r="R7" i="2"/>
  <c r="Q7" i="2"/>
  <c r="R6" i="2"/>
  <c r="Q6" i="2"/>
  <c r="R5" i="2"/>
  <c r="Q5" i="2"/>
  <c r="R4" i="2"/>
  <c r="Q4" i="2"/>
  <c r="R3" i="2"/>
  <c r="Q3" i="2"/>
  <c r="A4" i="2"/>
  <c r="A5" i="2" s="1"/>
  <c r="A6" i="2" s="1"/>
  <c r="A7" i="2" s="1"/>
  <c r="A8" i="2" s="1"/>
  <c r="A9" i="2" s="1"/>
  <c r="A10" i="2" s="1"/>
  <c r="A11" i="2" s="1"/>
  <c r="A12" i="2" s="1"/>
  <c r="A13" i="2" s="1"/>
  <c r="A14" i="2" s="1"/>
  <c r="A15" i="2" s="1"/>
  <c r="A16" i="2" s="1"/>
  <c r="A17" i="2" s="1"/>
  <c r="A18" i="2" s="1"/>
  <c r="S6" i="2" l="1"/>
  <c r="T6" i="2" s="1"/>
  <c r="U6" i="2" s="1"/>
  <c r="V6" i="2" s="1"/>
  <c r="S5" i="2"/>
  <c r="T5" i="2" s="1"/>
  <c r="U5" i="2" s="1"/>
  <c r="V5" i="2" s="1"/>
  <c r="S8" i="2"/>
  <c r="T8" i="2" s="1"/>
  <c r="U8" i="2" s="1"/>
  <c r="V8" i="2" s="1"/>
  <c r="T14" i="2"/>
  <c r="U14" i="2" s="1"/>
  <c r="V14" i="2" s="1"/>
  <c r="S10" i="2"/>
  <c r="T10" i="2" s="1"/>
  <c r="U10" i="2" s="1"/>
  <c r="V10" i="2" s="1"/>
  <c r="S7" i="2"/>
  <c r="T7" i="2" s="1"/>
  <c r="U7" i="2" s="1"/>
  <c r="V7" i="2" s="1"/>
  <c r="S13" i="2"/>
  <c r="T13" i="2" s="1"/>
  <c r="U13" i="2" s="1"/>
  <c r="V13" i="2" s="1"/>
  <c r="T15" i="2"/>
  <c r="U15" i="2" s="1"/>
  <c r="V15" i="2" s="1"/>
  <c r="S4" i="2"/>
  <c r="T4" i="2" s="1"/>
  <c r="U4" i="2" s="1"/>
  <c r="V4" i="2" s="1"/>
  <c r="S9" i="2"/>
  <c r="T9" i="2" s="1"/>
  <c r="U9" i="2" s="1"/>
  <c r="V9" i="2" s="1"/>
  <c r="S11" i="2"/>
  <c r="T11" i="2" s="1"/>
  <c r="U11" i="2" s="1"/>
  <c r="V11" i="2" s="1"/>
  <c r="S16" i="2"/>
  <c r="T16" i="2" s="1"/>
  <c r="U16" i="2" s="1"/>
  <c r="V16" i="2" s="1"/>
  <c r="T18" i="2"/>
  <c r="U18" i="2" s="1"/>
  <c r="V18" i="2" s="1"/>
  <c r="S3" i="2"/>
  <c r="T3" i="2" s="1"/>
  <c r="U3" i="2" s="1"/>
  <c r="V3" i="2" s="1"/>
  <c r="S12" i="2"/>
  <c r="T12" i="2" s="1"/>
  <c r="U12" i="2" s="1"/>
  <c r="V12" i="2" s="1"/>
  <c r="T17" i="2"/>
  <c r="U17" i="2" s="1"/>
  <c r="V17" i="2" s="1"/>
  <c r="D19" i="6"/>
  <c r="D14" i="6"/>
  <c r="F14" i="6" s="1"/>
  <c r="F9" i="6"/>
  <c r="J9" i="6" s="1"/>
  <c r="G19" i="6" l="1"/>
  <c r="I19" i="6" s="1"/>
  <c r="O3" i="1"/>
  <c r="N3" i="1"/>
  <c r="F111" i="1"/>
  <c r="F98" i="1"/>
  <c r="N10" i="1" s="1"/>
  <c r="B111" i="1"/>
  <c r="F93" i="1"/>
  <c r="N9" i="1" s="1"/>
  <c r="F73" i="1" l="1"/>
  <c r="N5" i="1" s="1"/>
  <c r="F76" i="1"/>
  <c r="N6" i="1" s="1"/>
  <c r="F85" i="1"/>
  <c r="N8" i="1" s="1"/>
  <c r="F79" i="1"/>
  <c r="N7" i="1" s="1"/>
  <c r="B98" i="1"/>
  <c r="M10" i="1" s="1"/>
  <c r="B93" i="1"/>
  <c r="M9" i="1" s="1"/>
  <c r="B85" i="1" l="1"/>
  <c r="M8" i="1" s="1"/>
  <c r="B79" i="1"/>
  <c r="M7" i="1" s="1"/>
  <c r="B76" i="1"/>
  <c r="M6" i="1" s="1"/>
  <c r="B73" i="1"/>
  <c r="M5" i="1" s="1"/>
  <c r="J120" i="1" l="1"/>
  <c r="G120" i="1"/>
  <c r="K120" i="1" s="1"/>
  <c r="L120" i="1" l="1"/>
  <c r="H63" i="1" l="1"/>
  <c r="K145" i="6" l="1"/>
  <c r="K111" i="6"/>
  <c r="K94" i="6"/>
  <c r="K77" i="6"/>
  <c r="K60" i="6"/>
  <c r="K26" i="6"/>
  <c r="J158" i="6" s="1"/>
  <c r="D2" i="7" l="1"/>
  <c r="F10" i="7" l="1"/>
  <c r="G66" i="7" s="1"/>
  <c r="CF11" i="7"/>
  <c r="CG11" i="7" s="1"/>
  <c r="AD11" i="7"/>
  <c r="AD10" i="7"/>
  <c r="AE9" i="7"/>
  <c r="AE11" i="7" l="1"/>
  <c r="AE61" i="7"/>
  <c r="AE62" i="7"/>
  <c r="AE53" i="7"/>
  <c r="AE54" i="7"/>
  <c r="AE60" i="7"/>
  <c r="AE56" i="7"/>
  <c r="AE52" i="7"/>
  <c r="AE47" i="7"/>
  <c r="AE40" i="7"/>
  <c r="AE64" i="7"/>
  <c r="AE59" i="7"/>
  <c r="AE51" i="7"/>
  <c r="AE48" i="7"/>
  <c r="AE41" i="7"/>
  <c r="AE58" i="7"/>
  <c r="AE50" i="7"/>
  <c r="AE45" i="7"/>
  <c r="AE33" i="7"/>
  <c r="AE49" i="7"/>
  <c r="AE44" i="7"/>
  <c r="AE34" i="7"/>
  <c r="AE66" i="7"/>
  <c r="AE43" i="7"/>
  <c r="AE39" i="7"/>
  <c r="AE35" i="7"/>
  <c r="AE30" i="7"/>
  <c r="AE29" i="7"/>
  <c r="AE27" i="7"/>
  <c r="AE37" i="7"/>
  <c r="AE57" i="7"/>
  <c r="AE55" i="7"/>
  <c r="AE31" i="7"/>
  <c r="AE20" i="7"/>
  <c r="AE21" i="7"/>
  <c r="AE32" i="7"/>
  <c r="AE63" i="7"/>
  <c r="AE12" i="7"/>
  <c r="AE42" i="7"/>
  <c r="AE22" i="7"/>
  <c r="AE36" i="7"/>
  <c r="AE19" i="7"/>
  <c r="AE13" i="7"/>
  <c r="AE25" i="7"/>
  <c r="AE14" i="7"/>
  <c r="AE65" i="7"/>
  <c r="AE46" i="7"/>
  <c r="AE38" i="7"/>
  <c r="AE24" i="7"/>
  <c r="AE28" i="7"/>
  <c r="AE26" i="7"/>
  <c r="AE16" i="7"/>
  <c r="AE18" i="7"/>
  <c r="AE23" i="7"/>
  <c r="AE17" i="7"/>
  <c r="AE15" i="7"/>
  <c r="G64" i="7"/>
  <c r="G63" i="7"/>
  <c r="G62" i="7"/>
  <c r="G61" i="7"/>
  <c r="G60" i="7"/>
  <c r="G59" i="7"/>
  <c r="G58" i="7"/>
  <c r="G57" i="7"/>
  <c r="G56" i="7"/>
  <c r="G55" i="7"/>
  <c r="G54" i="7"/>
  <c r="G53" i="7"/>
  <c r="G52" i="7"/>
  <c r="G50" i="7"/>
  <c r="G49" i="7"/>
  <c r="G48" i="7"/>
  <c r="G47" i="7"/>
  <c r="G45" i="7"/>
  <c r="G44" i="7"/>
  <c r="G43" i="7"/>
  <c r="G42" i="7"/>
  <c r="G41" i="7"/>
  <c r="G40" i="7"/>
  <c r="G39" i="7"/>
  <c r="G38" i="7"/>
  <c r="G37" i="7"/>
  <c r="G36" i="7"/>
  <c r="G34" i="7"/>
  <c r="G33" i="7"/>
  <c r="G32" i="7"/>
  <c r="G31" i="7"/>
  <c r="G30" i="7"/>
  <c r="G29" i="7"/>
  <c r="G28" i="7"/>
  <c r="G27" i="7"/>
  <c r="G26" i="7"/>
  <c r="G25" i="7"/>
  <c r="G24" i="7"/>
  <c r="G23" i="7"/>
  <c r="G22" i="7"/>
  <c r="G21" i="7"/>
  <c r="G20" i="7"/>
  <c r="G19" i="7"/>
  <c r="G18" i="7"/>
  <c r="G17" i="7"/>
  <c r="G16" i="7"/>
  <c r="G15" i="7"/>
  <c r="G14" i="7"/>
  <c r="G13" i="7"/>
  <c r="G12" i="7"/>
  <c r="G11" i="7"/>
  <c r="AF9" i="7"/>
  <c r="AE10" i="7"/>
  <c r="AF62" i="7" l="1"/>
  <c r="AF63" i="7"/>
  <c r="AF55" i="7"/>
  <c r="AF61" i="7"/>
  <c r="AF54" i="7"/>
  <c r="AF66" i="7"/>
  <c r="AF64" i="7"/>
  <c r="AF59" i="7"/>
  <c r="AF51" i="7"/>
  <c r="AF48" i="7"/>
  <c r="AF41" i="7"/>
  <c r="AF49" i="7"/>
  <c r="AF42" i="7"/>
  <c r="AF35" i="7"/>
  <c r="AF65" i="7"/>
  <c r="AF60" i="7"/>
  <c r="AF53" i="7"/>
  <c r="AF44" i="7"/>
  <c r="AF34" i="7"/>
  <c r="AF43" i="7"/>
  <c r="AF37" i="7"/>
  <c r="AF28" i="7"/>
  <c r="AF52" i="7"/>
  <c r="AF46" i="7"/>
  <c r="AF58" i="7"/>
  <c r="AF40" i="7"/>
  <c r="AF57" i="7"/>
  <c r="AF47" i="7"/>
  <c r="AF45" i="7"/>
  <c r="AF29" i="7"/>
  <c r="AF21" i="7"/>
  <c r="AF32" i="7"/>
  <c r="AF22" i="7"/>
  <c r="AF36" i="7"/>
  <c r="AF56" i="7"/>
  <c r="AF27" i="7"/>
  <c r="AF19" i="7"/>
  <c r="AF13" i="7"/>
  <c r="AF23" i="7"/>
  <c r="AF18" i="7"/>
  <c r="AF31" i="7"/>
  <c r="AF25" i="7"/>
  <c r="AF14" i="7"/>
  <c r="AF50" i="7"/>
  <c r="AF33" i="7"/>
  <c r="AF30" i="7"/>
  <c r="AF38" i="7"/>
  <c r="AF24" i="7"/>
  <c r="AF20" i="7"/>
  <c r="AF39" i="7"/>
  <c r="AF26" i="7"/>
  <c r="AF16" i="7"/>
  <c r="AF17" i="7"/>
  <c r="AF15" i="7"/>
  <c r="AF12" i="7"/>
  <c r="AG9" i="7"/>
  <c r="AF10" i="7"/>
  <c r="AF11" i="7"/>
  <c r="G111" i="1"/>
  <c r="AG63" i="7" l="1"/>
  <c r="AG64" i="7"/>
  <c r="AG56" i="7"/>
  <c r="AG66" i="7"/>
  <c r="AG65" i="7"/>
  <c r="AG60" i="7"/>
  <c r="AG62" i="7"/>
  <c r="AG49" i="7"/>
  <c r="AG42" i="7"/>
  <c r="AG61" i="7"/>
  <c r="AG57" i="7"/>
  <c r="AG50" i="7"/>
  <c r="AG43" i="7"/>
  <c r="AG52" i="7"/>
  <c r="AG39" i="7"/>
  <c r="AG46" i="7"/>
  <c r="AG34" i="7"/>
  <c r="AG47" i="7"/>
  <c r="AG45" i="7"/>
  <c r="AG44" i="7"/>
  <c r="AG59" i="7"/>
  <c r="AG54" i="7"/>
  <c r="AG41" i="7"/>
  <c r="AG32" i="7"/>
  <c r="AG22" i="7"/>
  <c r="AG36" i="7"/>
  <c r="AG55" i="7"/>
  <c r="AG53" i="7"/>
  <c r="AG35" i="7"/>
  <c r="AG31" i="7"/>
  <c r="AG25" i="7"/>
  <c r="AG14" i="7"/>
  <c r="AG48" i="7"/>
  <c r="AG28" i="7"/>
  <c r="AG58" i="7"/>
  <c r="AG33" i="7"/>
  <c r="AG26" i="7"/>
  <c r="AG37" i="7"/>
  <c r="AG30" i="7"/>
  <c r="AG23" i="7"/>
  <c r="AG18" i="7"/>
  <c r="AG38" i="7"/>
  <c r="AG19" i="7"/>
  <c r="AG16" i="7"/>
  <c r="AG29" i="7"/>
  <c r="AG24" i="7"/>
  <c r="AG20" i="7"/>
  <c r="AG12" i="7"/>
  <c r="AG40" i="7"/>
  <c r="AG17" i="7"/>
  <c r="AG21" i="7"/>
  <c r="AG13" i="7"/>
  <c r="AG51" i="7"/>
  <c r="AG27" i="7"/>
  <c r="AG15" i="7"/>
  <c r="AG11" i="7"/>
  <c r="AH9" i="7"/>
  <c r="AG10" i="7"/>
  <c r="AH64" i="7" l="1"/>
  <c r="AH65" i="7"/>
  <c r="AH57" i="7"/>
  <c r="AH60" i="7"/>
  <c r="AH61" i="7"/>
  <c r="AH50" i="7"/>
  <c r="AH43" i="7"/>
  <c r="AH44" i="7"/>
  <c r="AH36" i="7"/>
  <c r="AH62" i="7"/>
  <c r="AH59" i="7"/>
  <c r="AH56" i="7"/>
  <c r="AH51" i="7"/>
  <c r="AH49" i="7"/>
  <c r="AH39" i="7"/>
  <c r="AH63" i="7"/>
  <c r="AH48" i="7"/>
  <c r="AH38" i="7"/>
  <c r="AH37" i="7"/>
  <c r="AH35" i="7"/>
  <c r="AH53" i="7"/>
  <c r="AH52" i="7"/>
  <c r="AH47" i="7"/>
  <c r="AH45" i="7"/>
  <c r="AH66" i="7"/>
  <c r="AH42" i="7"/>
  <c r="AH15" i="7"/>
  <c r="AH54" i="7"/>
  <c r="AH41" i="7"/>
  <c r="AH28" i="7"/>
  <c r="AH27" i="7"/>
  <c r="AH26" i="7"/>
  <c r="AH16" i="7"/>
  <c r="AH34" i="7"/>
  <c r="AH58" i="7"/>
  <c r="AH33" i="7"/>
  <c r="AH32" i="7"/>
  <c r="AH30" i="7"/>
  <c r="AH23" i="7"/>
  <c r="AH18" i="7"/>
  <c r="AH22" i="7"/>
  <c r="AH21" i="7"/>
  <c r="AH17" i="7"/>
  <c r="AH46" i="7"/>
  <c r="AH31" i="7"/>
  <c r="AH24" i="7"/>
  <c r="AH20" i="7"/>
  <c r="AH12" i="7"/>
  <c r="AH55" i="7"/>
  <c r="AH29" i="7"/>
  <c r="AH19" i="7"/>
  <c r="AH14" i="7"/>
  <c r="AH40" i="7"/>
  <c r="AH25" i="7"/>
  <c r="AH13" i="7"/>
  <c r="AH10" i="7"/>
  <c r="AH11" i="7"/>
  <c r="AI9" i="7"/>
  <c r="D150" i="6"/>
  <c r="F150" i="6" s="1"/>
  <c r="D133" i="6"/>
  <c r="F133" i="6" s="1"/>
  <c r="D116" i="6"/>
  <c r="F116" i="6" s="1"/>
  <c r="D99" i="6"/>
  <c r="F99" i="6" s="1"/>
  <c r="D82" i="6"/>
  <c r="F82" i="6" s="1"/>
  <c r="D65" i="6"/>
  <c r="F65" i="6" s="1"/>
  <c r="D48" i="6"/>
  <c r="F48" i="6" s="1"/>
  <c r="D31" i="6"/>
  <c r="F31" i="6" s="1"/>
  <c r="AI65" i="7" l="1"/>
  <c r="AI66" i="7"/>
  <c r="AI58" i="7"/>
  <c r="AI51" i="7"/>
  <c r="AI61" i="7"/>
  <c r="AI57" i="7"/>
  <c r="AI44" i="7"/>
  <c r="AI54" i="7"/>
  <c r="AI45" i="7"/>
  <c r="AI37" i="7"/>
  <c r="AI60" i="7"/>
  <c r="AI64" i="7"/>
  <c r="AI63" i="7"/>
  <c r="AI48" i="7"/>
  <c r="AI43" i="7"/>
  <c r="AI38" i="7"/>
  <c r="AI35" i="7"/>
  <c r="AI29" i="7"/>
  <c r="AI52" i="7"/>
  <c r="AI47" i="7"/>
  <c r="AI42" i="7"/>
  <c r="AI36" i="7"/>
  <c r="AI23" i="7"/>
  <c r="AI53" i="7"/>
  <c r="AI46" i="7"/>
  <c r="AI39" i="7"/>
  <c r="AI41" i="7"/>
  <c r="AI28" i="7"/>
  <c r="AI27" i="7"/>
  <c r="AI26" i="7"/>
  <c r="AI16" i="7"/>
  <c r="AI49" i="7"/>
  <c r="AI34" i="7"/>
  <c r="AI25" i="7"/>
  <c r="AI17" i="7"/>
  <c r="AI59" i="7"/>
  <c r="AI56" i="7"/>
  <c r="AI33" i="7"/>
  <c r="AI30" i="7"/>
  <c r="AI18" i="7"/>
  <c r="AI50" i="7"/>
  <c r="AI22" i="7"/>
  <c r="AI24" i="7"/>
  <c r="AI21" i="7"/>
  <c r="AI20" i="7"/>
  <c r="AI62" i="7"/>
  <c r="AI55" i="7"/>
  <c r="AI19" i="7"/>
  <c r="AI14" i="7"/>
  <c r="AI32" i="7"/>
  <c r="AI13" i="7"/>
  <c r="AI12" i="7"/>
  <c r="AI40" i="7"/>
  <c r="AI31" i="7"/>
  <c r="AI15" i="7"/>
  <c r="AI10" i="7"/>
  <c r="AJ9" i="7"/>
  <c r="AI11" i="7"/>
  <c r="AJ11" i="7"/>
  <c r="L38" i="4"/>
  <c r="L2" i="4"/>
  <c r="AJ66" i="7" l="1"/>
  <c r="AJ59" i="7"/>
  <c r="AJ65" i="7"/>
  <c r="AJ51" i="7"/>
  <c r="AJ64" i="7"/>
  <c r="AJ54" i="7"/>
  <c r="AJ45" i="7"/>
  <c r="AJ63" i="7"/>
  <c r="AJ55" i="7"/>
  <c r="AJ53" i="7"/>
  <c r="AJ46" i="7"/>
  <c r="AJ38" i="7"/>
  <c r="AJ52" i="7"/>
  <c r="AJ47" i="7"/>
  <c r="AJ42" i="7"/>
  <c r="AJ37" i="7"/>
  <c r="AJ36" i="7"/>
  <c r="AJ30" i="7"/>
  <c r="AJ41" i="7"/>
  <c r="AJ44" i="7"/>
  <c r="AJ24" i="7"/>
  <c r="AJ48" i="7"/>
  <c r="AJ33" i="7"/>
  <c r="AJ32" i="7"/>
  <c r="AJ62" i="7"/>
  <c r="AJ49" i="7"/>
  <c r="AJ34" i="7"/>
  <c r="AJ25" i="7"/>
  <c r="AJ17" i="7"/>
  <c r="AJ56" i="7"/>
  <c r="AJ18" i="7"/>
  <c r="AJ35" i="7"/>
  <c r="AJ57" i="7"/>
  <c r="AJ50" i="7"/>
  <c r="AJ23" i="7"/>
  <c r="AJ22" i="7"/>
  <c r="AJ61" i="7"/>
  <c r="AJ40" i="7"/>
  <c r="AJ21" i="7"/>
  <c r="AJ15" i="7"/>
  <c r="AJ12" i="7"/>
  <c r="AJ39" i="7"/>
  <c r="AJ60" i="7"/>
  <c r="AJ28" i="7"/>
  <c r="AJ26" i="7"/>
  <c r="AJ20" i="7"/>
  <c r="AJ43" i="7"/>
  <c r="AJ16" i="7"/>
  <c r="AJ58" i="7"/>
  <c r="AJ29" i="7"/>
  <c r="AJ13" i="7"/>
  <c r="AJ31" i="7"/>
  <c r="AJ27" i="7"/>
  <c r="AJ19" i="7"/>
  <c r="AJ14" i="7"/>
  <c r="AJ10" i="7"/>
  <c r="AK9" i="7"/>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9" i="4"/>
  <c r="L40" i="4"/>
  <c r="L41" i="4"/>
  <c r="L42" i="4"/>
  <c r="L43" i="4"/>
  <c r="L44" i="4"/>
  <c r="L45" i="4"/>
  <c r="L46" i="4"/>
  <c r="L47" i="4"/>
  <c r="L48" i="4"/>
  <c r="L49" i="4"/>
  <c r="L50" i="4"/>
  <c r="L51" i="4"/>
  <c r="AK59" i="7" l="1"/>
  <c r="AK60" i="7"/>
  <c r="AK64" i="7"/>
  <c r="AK63" i="7"/>
  <c r="AK58" i="7"/>
  <c r="AK57" i="7"/>
  <c r="AK56" i="7"/>
  <c r="AK55" i="7"/>
  <c r="AK52" i="7"/>
  <c r="AK66" i="7"/>
  <c r="AK53" i="7"/>
  <c r="AK46" i="7"/>
  <c r="AK39" i="7"/>
  <c r="AK61" i="7"/>
  <c r="AK41" i="7"/>
  <c r="AK31" i="7"/>
  <c r="AK62" i="7"/>
  <c r="AK40" i="7"/>
  <c r="AK65" i="7"/>
  <c r="AK48" i="7"/>
  <c r="AK33" i="7"/>
  <c r="AK32" i="7"/>
  <c r="AK25" i="7"/>
  <c r="AK51" i="7"/>
  <c r="AK50" i="7"/>
  <c r="AK49" i="7"/>
  <c r="AK43" i="7"/>
  <c r="AK37" i="7"/>
  <c r="AK54" i="7"/>
  <c r="AK36" i="7"/>
  <c r="AK18" i="7"/>
  <c r="AK35" i="7"/>
  <c r="AK24" i="7"/>
  <c r="AK23" i="7"/>
  <c r="AK19" i="7"/>
  <c r="AK38" i="7"/>
  <c r="AK30" i="7"/>
  <c r="AK47" i="7"/>
  <c r="AK21" i="7"/>
  <c r="AK12" i="7"/>
  <c r="AK28" i="7"/>
  <c r="AK26" i="7"/>
  <c r="AK20" i="7"/>
  <c r="AK29" i="7"/>
  <c r="AK16" i="7"/>
  <c r="AK13" i="7"/>
  <c r="AK45" i="7"/>
  <c r="AK42" i="7"/>
  <c r="AK17" i="7"/>
  <c r="AK15" i="7"/>
  <c r="AK34" i="7"/>
  <c r="AK22" i="7"/>
  <c r="AK14" i="7"/>
  <c r="AK44" i="7"/>
  <c r="AK27" i="7"/>
  <c r="AK10" i="7"/>
  <c r="AL9" i="7"/>
  <c r="AK11" i="7"/>
  <c r="AL11" i="7"/>
  <c r="B155" i="6"/>
  <c r="D155" i="6" s="1"/>
  <c r="F145" i="6"/>
  <c r="B138" i="6"/>
  <c r="D138" i="6" s="1"/>
  <c r="F128" i="6"/>
  <c r="B121" i="6"/>
  <c r="D121" i="6" s="1"/>
  <c r="F111" i="6"/>
  <c r="B104" i="6"/>
  <c r="D104" i="6" s="1"/>
  <c r="F94" i="6"/>
  <c r="B87" i="6"/>
  <c r="D87" i="6" s="1"/>
  <c r="F77" i="6"/>
  <c r="B70" i="6"/>
  <c r="D70" i="6" s="1"/>
  <c r="F60" i="6"/>
  <c r="B53" i="6"/>
  <c r="D53" i="6" s="1"/>
  <c r="F43" i="6"/>
  <c r="J43" i="6" s="1"/>
  <c r="B36" i="6"/>
  <c r="D36" i="6" s="1"/>
  <c r="F26" i="6"/>
  <c r="J26" i="6" s="1"/>
  <c r="AL60" i="7" l="1"/>
  <c r="AL61" i="7"/>
  <c r="AL66" i="7"/>
  <c r="AL63" i="7"/>
  <c r="AL58" i="7"/>
  <c r="AL57" i="7"/>
  <c r="AL56" i="7"/>
  <c r="AL55" i="7"/>
  <c r="AL52" i="7"/>
  <c r="AL62" i="7"/>
  <c r="AL59" i="7"/>
  <c r="AL53" i="7"/>
  <c r="AL65" i="7"/>
  <c r="AL47" i="7"/>
  <c r="AL40" i="7"/>
  <c r="AL64" i="7"/>
  <c r="AL54" i="7"/>
  <c r="AL32" i="7"/>
  <c r="AL46" i="7"/>
  <c r="AL51" i="7"/>
  <c r="AL50" i="7"/>
  <c r="AL49" i="7"/>
  <c r="AL26" i="7"/>
  <c r="AL38" i="7"/>
  <c r="AL36" i="7"/>
  <c r="AL31" i="7"/>
  <c r="AL45" i="7"/>
  <c r="AL44" i="7"/>
  <c r="AL35" i="7"/>
  <c r="AL24" i="7"/>
  <c r="AL23" i="7"/>
  <c r="AL19" i="7"/>
  <c r="AL33" i="7"/>
  <c r="AL30" i="7"/>
  <c r="AL20" i="7"/>
  <c r="AL42" i="7"/>
  <c r="AL39" i="7"/>
  <c r="AL37" i="7"/>
  <c r="AL41" i="7"/>
  <c r="AL28" i="7"/>
  <c r="AL13" i="7"/>
  <c r="AL17" i="7"/>
  <c r="AL15" i="7"/>
  <c r="AL12" i="7"/>
  <c r="AL16" i="7"/>
  <c r="AL14" i="7"/>
  <c r="AL48" i="7"/>
  <c r="AL34" i="7"/>
  <c r="AL29" i="7"/>
  <c r="AL43" i="7"/>
  <c r="AL22" i="7"/>
  <c r="AL18" i="7"/>
  <c r="AL27" i="7"/>
  <c r="AL25" i="7"/>
  <c r="AL21" i="7"/>
  <c r="AM9" i="7"/>
  <c r="AN9" i="7" s="1"/>
  <c r="AL10" i="7"/>
  <c r="G36" i="6"/>
  <c r="I36" i="6" s="1"/>
  <c r="G155" i="6"/>
  <c r="I155" i="6" s="1"/>
  <c r="G138" i="6"/>
  <c r="I138" i="6" s="1"/>
  <c r="G121" i="6"/>
  <c r="I121" i="6" s="1"/>
  <c r="G104" i="6"/>
  <c r="I104" i="6" s="1"/>
  <c r="G87" i="6"/>
  <c r="I87" i="6" s="1"/>
  <c r="G70" i="6"/>
  <c r="I70" i="6" s="1"/>
  <c r="G53" i="6"/>
  <c r="I53" i="6" s="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2" i="4"/>
  <c r="AN62" i="7" l="1"/>
  <c r="AN63" i="7"/>
  <c r="AN55" i="7"/>
  <c r="AN54" i="7"/>
  <c r="AN58" i="7"/>
  <c r="AN48" i="7"/>
  <c r="AN41" i="7"/>
  <c r="AN52" i="7"/>
  <c r="AN49" i="7"/>
  <c r="AN42" i="7"/>
  <c r="AN35" i="7"/>
  <c r="AN56" i="7"/>
  <c r="AN40" i="7"/>
  <c r="AN34" i="7"/>
  <c r="AN51" i="7"/>
  <c r="AN50" i="7"/>
  <c r="AN45" i="7"/>
  <c r="AN64" i="7"/>
  <c r="AN30" i="7"/>
  <c r="AN29" i="7"/>
  <c r="AN28" i="7"/>
  <c r="AN61" i="7"/>
  <c r="AN60" i="7"/>
  <c r="AN47" i="7"/>
  <c r="AN39" i="7"/>
  <c r="AN37" i="7"/>
  <c r="AN33" i="7"/>
  <c r="AN21" i="7"/>
  <c r="AN59" i="7"/>
  <c r="AN44" i="7"/>
  <c r="AN38" i="7"/>
  <c r="AN22" i="7"/>
  <c r="AN46" i="7"/>
  <c r="AN31" i="7"/>
  <c r="AN66" i="7"/>
  <c r="AN36" i="7"/>
  <c r="AN20" i="7"/>
  <c r="AN16" i="7"/>
  <c r="AN13" i="7"/>
  <c r="AN65" i="7"/>
  <c r="AN27" i="7"/>
  <c r="AN24" i="7"/>
  <c r="AN14" i="7"/>
  <c r="AN43" i="7"/>
  <c r="AN19" i="7"/>
  <c r="AN12" i="7"/>
  <c r="AN32" i="7"/>
  <c r="AN53" i="7"/>
  <c r="AN26" i="7"/>
  <c r="AN25" i="7"/>
  <c r="AN15" i="7"/>
  <c r="AN23" i="7"/>
  <c r="AN17" i="7"/>
  <c r="AN57" i="7"/>
  <c r="AN18" i="7"/>
  <c r="AM61" i="7"/>
  <c r="AM62" i="7"/>
  <c r="AM59" i="7"/>
  <c r="AM53" i="7"/>
  <c r="AM54" i="7"/>
  <c r="AM64" i="7"/>
  <c r="AM63" i="7"/>
  <c r="AM55" i="7"/>
  <c r="AM47" i="7"/>
  <c r="AM40" i="7"/>
  <c r="AM58" i="7"/>
  <c r="AM48" i="7"/>
  <c r="AM41" i="7"/>
  <c r="AM57" i="7"/>
  <c r="AM46" i="7"/>
  <c r="AM33" i="7"/>
  <c r="AM56" i="7"/>
  <c r="AM34" i="7"/>
  <c r="AM60" i="7"/>
  <c r="AM66" i="7"/>
  <c r="AM38" i="7"/>
  <c r="AM36" i="7"/>
  <c r="AM31" i="7"/>
  <c r="AM27" i="7"/>
  <c r="AM30" i="7"/>
  <c r="AM20" i="7"/>
  <c r="AM52" i="7"/>
  <c r="AM42" i="7"/>
  <c r="AM39" i="7"/>
  <c r="AM37" i="7"/>
  <c r="AM21" i="7"/>
  <c r="AM50" i="7"/>
  <c r="AM44" i="7"/>
  <c r="AM29" i="7"/>
  <c r="AM26" i="7"/>
  <c r="AM17" i="7"/>
  <c r="AM15" i="7"/>
  <c r="AM12" i="7"/>
  <c r="AM19" i="7"/>
  <c r="AM45" i="7"/>
  <c r="AM16" i="7"/>
  <c r="AM13" i="7"/>
  <c r="AM24" i="7"/>
  <c r="AM14" i="7"/>
  <c r="AM43" i="7"/>
  <c r="AM65" i="7"/>
  <c r="AM51" i="7"/>
  <c r="AM49" i="7"/>
  <c r="AM28" i="7"/>
  <c r="AM35" i="7"/>
  <c r="AM32" i="7"/>
  <c r="AM25" i="7"/>
  <c r="AM22" i="7"/>
  <c r="AM18" i="7"/>
  <c r="AM23" i="7"/>
  <c r="AM10" i="7"/>
  <c r="AM11" i="7"/>
  <c r="AN10" i="7"/>
  <c r="AN11" i="7"/>
  <c r="AO9" i="7"/>
  <c r="N52" i="4"/>
  <c r="AO63" i="7" l="1"/>
  <c r="AO64" i="7"/>
  <c r="AO56" i="7"/>
  <c r="AO62" i="7"/>
  <c r="AO61" i="7"/>
  <c r="AO52" i="7"/>
  <c r="AO49" i="7"/>
  <c r="AO42" i="7"/>
  <c r="AO66" i="7"/>
  <c r="AO51" i="7"/>
  <c r="AO50" i="7"/>
  <c r="AO43" i="7"/>
  <c r="AO53" i="7"/>
  <c r="AO45" i="7"/>
  <c r="AO58" i="7"/>
  <c r="AO57" i="7"/>
  <c r="AO55" i="7"/>
  <c r="AO44" i="7"/>
  <c r="AO65" i="7"/>
  <c r="AO40" i="7"/>
  <c r="AO39" i="7"/>
  <c r="AO48" i="7"/>
  <c r="AO38" i="7"/>
  <c r="AO36" i="7"/>
  <c r="AO59" i="7"/>
  <c r="AO30" i="7"/>
  <c r="AO22" i="7"/>
  <c r="AO46" i="7"/>
  <c r="AO31" i="7"/>
  <c r="AO29" i="7"/>
  <c r="AO24" i="7"/>
  <c r="AO14" i="7"/>
  <c r="AO60" i="7"/>
  <c r="AO37" i="7"/>
  <c r="AO34" i="7"/>
  <c r="AO19" i="7"/>
  <c r="AO25" i="7"/>
  <c r="AO27" i="7"/>
  <c r="AO32" i="7"/>
  <c r="AO28" i="7"/>
  <c r="AO15" i="7"/>
  <c r="AO13" i="7"/>
  <c r="AO23" i="7"/>
  <c r="AO17" i="7"/>
  <c r="AO21" i="7"/>
  <c r="AO26" i="7"/>
  <c r="AO20" i="7"/>
  <c r="AO16" i="7"/>
  <c r="AO47" i="7"/>
  <c r="AO41" i="7"/>
  <c r="AO54" i="7"/>
  <c r="AO33" i="7"/>
  <c r="AO12" i="7"/>
  <c r="AO35" i="7"/>
  <c r="AO18" i="7"/>
  <c r="AO10" i="7"/>
  <c r="AO11" i="7"/>
  <c r="AP9" i="7"/>
  <c r="A19" i="2"/>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P64" i="7" l="1"/>
  <c r="AP65" i="7"/>
  <c r="AP57" i="7"/>
  <c r="AP61" i="7"/>
  <c r="AP63" i="7"/>
  <c r="AP66" i="7"/>
  <c r="AP51" i="7"/>
  <c r="AP50" i="7"/>
  <c r="AP43" i="7"/>
  <c r="AP60" i="7"/>
  <c r="AP56" i="7"/>
  <c r="AP44" i="7"/>
  <c r="AP36" i="7"/>
  <c r="AP58" i="7"/>
  <c r="AP55" i="7"/>
  <c r="AP62" i="7"/>
  <c r="AP28" i="7"/>
  <c r="AP59" i="7"/>
  <c r="AP54" i="7"/>
  <c r="AP39" i="7"/>
  <c r="AP52" i="7"/>
  <c r="AP40" i="7"/>
  <c r="AP41" i="7"/>
  <c r="AP37" i="7"/>
  <c r="AP35" i="7"/>
  <c r="AP34" i="7"/>
  <c r="AP49" i="7"/>
  <c r="AP46" i="7"/>
  <c r="AP42" i="7"/>
  <c r="AP38" i="7"/>
  <c r="AP31" i="7"/>
  <c r="AP29" i="7"/>
  <c r="AP15" i="7"/>
  <c r="AP16" i="7"/>
  <c r="AP48" i="7"/>
  <c r="AP32" i="7"/>
  <c r="AP45" i="7"/>
  <c r="AP19" i="7"/>
  <c r="AP27" i="7"/>
  <c r="AP18" i="7"/>
  <c r="AP25" i="7"/>
  <c r="AP53" i="7"/>
  <c r="AP47" i="7"/>
  <c r="AP26" i="7"/>
  <c r="AP20" i="7"/>
  <c r="AP23" i="7"/>
  <c r="AP17" i="7"/>
  <c r="AP21" i="7"/>
  <c r="AP14" i="7"/>
  <c r="AP13" i="7"/>
  <c r="AP33" i="7"/>
  <c r="AP30" i="7"/>
  <c r="AP22" i="7"/>
  <c r="AP12" i="7"/>
  <c r="AP24" i="7"/>
  <c r="AP11" i="7"/>
  <c r="AQ9" i="7"/>
  <c r="AP10" i="7"/>
  <c r="L52" i="4"/>
  <c r="H26" i="1" s="1"/>
  <c r="M52" i="4"/>
  <c r="AQ65" i="7" l="1"/>
  <c r="AQ66" i="7"/>
  <c r="AQ58" i="7"/>
  <c r="AQ60" i="7"/>
  <c r="AQ51" i="7"/>
  <c r="AQ62" i="7"/>
  <c r="AQ56" i="7"/>
  <c r="AQ44" i="7"/>
  <c r="AQ59" i="7"/>
  <c r="AQ45" i="7"/>
  <c r="AQ37" i="7"/>
  <c r="AQ52" i="7"/>
  <c r="AQ57" i="7"/>
  <c r="AQ55" i="7"/>
  <c r="AQ54" i="7"/>
  <c r="AQ50" i="7"/>
  <c r="AQ39" i="7"/>
  <c r="AQ29" i="7"/>
  <c r="AQ49" i="7"/>
  <c r="AQ38" i="7"/>
  <c r="AQ35" i="7"/>
  <c r="AQ64" i="7"/>
  <c r="AQ61" i="7"/>
  <c r="AQ41" i="7"/>
  <c r="AQ34" i="7"/>
  <c r="AQ23" i="7"/>
  <c r="AQ42" i="7"/>
  <c r="AQ16" i="7"/>
  <c r="AQ48" i="7"/>
  <c r="AQ32" i="7"/>
  <c r="AQ27" i="7"/>
  <c r="AQ26" i="7"/>
  <c r="AQ17" i="7"/>
  <c r="AQ53" i="7"/>
  <c r="AQ40" i="7"/>
  <c r="AQ46" i="7"/>
  <c r="AQ43" i="7"/>
  <c r="AQ25" i="7"/>
  <c r="AQ22" i="7"/>
  <c r="AQ18" i="7"/>
  <c r="AQ47" i="7"/>
  <c r="AQ13" i="7"/>
  <c r="AQ21" i="7"/>
  <c r="AQ14" i="7"/>
  <c r="AQ12" i="7"/>
  <c r="AQ28" i="7"/>
  <c r="AQ15" i="7"/>
  <c r="AQ33" i="7"/>
  <c r="AQ31" i="7"/>
  <c r="AQ63" i="7"/>
  <c r="AQ36" i="7"/>
  <c r="AQ24" i="7"/>
  <c r="AQ19" i="7"/>
  <c r="AQ20" i="7"/>
  <c r="AQ30" i="7"/>
  <c r="AQ10" i="7"/>
  <c r="AR9" i="7"/>
  <c r="AQ11" i="7"/>
  <c r="AR66" i="7" l="1"/>
  <c r="AR59" i="7"/>
  <c r="AR60" i="7"/>
  <c r="AR51" i="7"/>
  <c r="AR61" i="7"/>
  <c r="AR45" i="7"/>
  <c r="AR65" i="7"/>
  <c r="AR62" i="7"/>
  <c r="AR46" i="7"/>
  <c r="AR38" i="7"/>
  <c r="AR63" i="7"/>
  <c r="AR58" i="7"/>
  <c r="AR49" i="7"/>
  <c r="AR44" i="7"/>
  <c r="AR35" i="7"/>
  <c r="AR30" i="7"/>
  <c r="AR53" i="7"/>
  <c r="AR48" i="7"/>
  <c r="AR43" i="7"/>
  <c r="AR37" i="7"/>
  <c r="AR36" i="7"/>
  <c r="AR42" i="7"/>
  <c r="AR39" i="7"/>
  <c r="AR24" i="7"/>
  <c r="AR52" i="7"/>
  <c r="AR50" i="7"/>
  <c r="AR40" i="7"/>
  <c r="AR56" i="7"/>
  <c r="AR32" i="7"/>
  <c r="AR27" i="7"/>
  <c r="AR26" i="7"/>
  <c r="AR17" i="7"/>
  <c r="AR28" i="7"/>
  <c r="AR25" i="7"/>
  <c r="AR18" i="7"/>
  <c r="AR34" i="7"/>
  <c r="AR31" i="7"/>
  <c r="AR21" i="7"/>
  <c r="AR12" i="7"/>
  <c r="AR47" i="7"/>
  <c r="AR29" i="7"/>
  <c r="AR23" i="7"/>
  <c r="AR64" i="7"/>
  <c r="AR22" i="7"/>
  <c r="AR33" i="7"/>
  <c r="AR55" i="7"/>
  <c r="AR57" i="7"/>
  <c r="AR54" i="7"/>
  <c r="AR16" i="7"/>
  <c r="AR15" i="7"/>
  <c r="AR14" i="7"/>
  <c r="AR41" i="7"/>
  <c r="AR19" i="7"/>
  <c r="AR20" i="7"/>
  <c r="AR13" i="7"/>
  <c r="AR10" i="7"/>
  <c r="AR11" i="7"/>
  <c r="AS9" i="7"/>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S21" i="2"/>
  <c r="S25" i="2"/>
  <c r="S29" i="2"/>
  <c r="S33" i="2"/>
  <c r="S37" i="2"/>
  <c r="S41" i="2"/>
  <c r="S45" i="2"/>
  <c r="S49" i="2"/>
  <c r="S53" i="2"/>
  <c r="S57" i="2"/>
  <c r="S61" i="2"/>
  <c r="S65" i="2"/>
  <c r="S69" i="2"/>
  <c r="S73" i="2"/>
  <c r="S77" i="2"/>
  <c r="S81" i="2"/>
  <c r="S85" i="2"/>
  <c r="S89" i="2"/>
  <c r="S93" i="2"/>
  <c r="S97" i="2"/>
  <c r="S101" i="2"/>
  <c r="S105" i="2"/>
  <c r="S109" i="2"/>
  <c r="S113" i="2"/>
  <c r="S117" i="2"/>
  <c r="S121" i="2"/>
  <c r="S125" i="2"/>
  <c r="S129" i="2"/>
  <c r="S133" i="2"/>
  <c r="S137" i="2"/>
  <c r="S141" i="2"/>
  <c r="S145" i="2"/>
  <c r="S149" i="2"/>
  <c r="S153" i="2"/>
  <c r="S157" i="2"/>
  <c r="S161" i="2"/>
  <c r="S165" i="2"/>
  <c r="S169" i="2"/>
  <c r="S173" i="2"/>
  <c r="S177" i="2"/>
  <c r="S181" i="2"/>
  <c r="S185" i="2"/>
  <c r="S189" i="2"/>
  <c r="S193" i="2"/>
  <c r="S197" i="2"/>
  <c r="S201" i="2"/>
  <c r="S205" i="2"/>
  <c r="S209" i="2"/>
  <c r="S213" i="2"/>
  <c r="S217" i="2"/>
  <c r="S221" i="2"/>
  <c r="S225" i="2"/>
  <c r="S229" i="2"/>
  <c r="S233" i="2"/>
  <c r="S237"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AS59" i="7" l="1"/>
  <c r="AS60" i="7"/>
  <c r="AS66" i="7"/>
  <c r="AS65" i="7"/>
  <c r="AS52" i="7"/>
  <c r="AS62" i="7"/>
  <c r="AS46" i="7"/>
  <c r="AS57" i="7"/>
  <c r="AS54" i="7"/>
  <c r="AS39" i="7"/>
  <c r="AS56" i="7"/>
  <c r="AS53" i="7"/>
  <c r="AS51" i="7"/>
  <c r="AS48" i="7"/>
  <c r="AS43" i="7"/>
  <c r="AS38" i="7"/>
  <c r="AS37" i="7"/>
  <c r="AS36" i="7"/>
  <c r="AS31" i="7"/>
  <c r="AS61" i="7"/>
  <c r="AS47" i="7"/>
  <c r="AS42" i="7"/>
  <c r="AS63" i="7"/>
  <c r="AS55" i="7"/>
  <c r="AS35" i="7"/>
  <c r="AS25" i="7"/>
  <c r="AS33" i="7"/>
  <c r="AS32" i="7"/>
  <c r="AS64" i="7"/>
  <c r="AS41" i="7"/>
  <c r="AS44" i="7"/>
  <c r="AS28" i="7"/>
  <c r="AS18" i="7"/>
  <c r="AS50" i="7"/>
  <c r="AS40" i="7"/>
  <c r="AS19" i="7"/>
  <c r="AS58" i="7"/>
  <c r="AS29" i="7"/>
  <c r="AS27" i="7"/>
  <c r="AS12" i="7"/>
  <c r="AS15" i="7"/>
  <c r="AS22" i="7"/>
  <c r="AS20" i="7"/>
  <c r="AS23" i="7"/>
  <c r="AS21" i="7"/>
  <c r="AS13" i="7"/>
  <c r="AS49" i="7"/>
  <c r="AS14" i="7"/>
  <c r="AS34" i="7"/>
  <c r="AS45" i="7"/>
  <c r="AS17" i="7"/>
  <c r="AS30" i="7"/>
  <c r="AS24" i="7"/>
  <c r="AS26" i="7"/>
  <c r="AS16" i="7"/>
  <c r="S234" i="2"/>
  <c r="T234" i="2" s="1"/>
  <c r="U234" i="2" s="1"/>
  <c r="V234" i="2" s="1"/>
  <c r="S230" i="2"/>
  <c r="T230" i="2" s="1"/>
  <c r="U230" i="2" s="1"/>
  <c r="V230" i="2" s="1"/>
  <c r="S226" i="2"/>
  <c r="T226" i="2" s="1"/>
  <c r="U226" i="2" s="1"/>
  <c r="V226" i="2" s="1"/>
  <c r="S222" i="2"/>
  <c r="T222" i="2" s="1"/>
  <c r="U222" i="2" s="1"/>
  <c r="V222" i="2" s="1"/>
  <c r="S218" i="2"/>
  <c r="S214" i="2"/>
  <c r="T214" i="2" s="1"/>
  <c r="U214" i="2" s="1"/>
  <c r="V214" i="2" s="1"/>
  <c r="S210" i="2"/>
  <c r="T210" i="2" s="1"/>
  <c r="U210" i="2" s="1"/>
  <c r="V210" i="2" s="1"/>
  <c r="S206" i="2"/>
  <c r="T206" i="2" s="1"/>
  <c r="U206" i="2" s="1"/>
  <c r="V206" i="2" s="1"/>
  <c r="S202" i="2"/>
  <c r="T202" i="2" s="1"/>
  <c r="U202" i="2" s="1"/>
  <c r="V202" i="2" s="1"/>
  <c r="S198" i="2"/>
  <c r="T198" i="2" s="1"/>
  <c r="U198" i="2" s="1"/>
  <c r="V198" i="2" s="1"/>
  <c r="S194" i="2"/>
  <c r="T194" i="2" s="1"/>
  <c r="U194" i="2" s="1"/>
  <c r="V194" i="2" s="1"/>
  <c r="S190" i="2"/>
  <c r="T190" i="2" s="1"/>
  <c r="U190" i="2" s="1"/>
  <c r="V190" i="2" s="1"/>
  <c r="S186" i="2"/>
  <c r="T186" i="2" s="1"/>
  <c r="U186" i="2" s="1"/>
  <c r="V186" i="2" s="1"/>
  <c r="S182" i="2"/>
  <c r="T182" i="2" s="1"/>
  <c r="U182" i="2" s="1"/>
  <c r="V182" i="2" s="1"/>
  <c r="S178" i="2"/>
  <c r="T178" i="2" s="1"/>
  <c r="U178" i="2" s="1"/>
  <c r="V178" i="2" s="1"/>
  <c r="S174" i="2"/>
  <c r="T174" i="2" s="1"/>
  <c r="U174" i="2" s="1"/>
  <c r="V174" i="2" s="1"/>
  <c r="S170" i="2"/>
  <c r="T170" i="2" s="1"/>
  <c r="U170" i="2" s="1"/>
  <c r="V170" i="2" s="1"/>
  <c r="S166" i="2"/>
  <c r="T166" i="2" s="1"/>
  <c r="U166" i="2" s="1"/>
  <c r="V166" i="2" s="1"/>
  <c r="S162" i="2"/>
  <c r="T162" i="2" s="1"/>
  <c r="U162" i="2" s="1"/>
  <c r="V162" i="2" s="1"/>
  <c r="S158" i="2"/>
  <c r="T158" i="2" s="1"/>
  <c r="U158" i="2" s="1"/>
  <c r="V158" i="2" s="1"/>
  <c r="S154" i="2"/>
  <c r="T154" i="2" s="1"/>
  <c r="U154" i="2" s="1"/>
  <c r="V154" i="2" s="1"/>
  <c r="S150" i="2"/>
  <c r="T150" i="2" s="1"/>
  <c r="U150" i="2" s="1"/>
  <c r="V150" i="2" s="1"/>
  <c r="S146" i="2"/>
  <c r="T146" i="2" s="1"/>
  <c r="U146" i="2" s="1"/>
  <c r="V146" i="2" s="1"/>
  <c r="S142" i="2"/>
  <c r="T142" i="2" s="1"/>
  <c r="U142" i="2" s="1"/>
  <c r="V142" i="2" s="1"/>
  <c r="S138" i="2"/>
  <c r="T138" i="2" s="1"/>
  <c r="U138" i="2" s="1"/>
  <c r="V138" i="2" s="1"/>
  <c r="S134" i="2"/>
  <c r="T134" i="2" s="1"/>
  <c r="U134" i="2" s="1"/>
  <c r="V134" i="2" s="1"/>
  <c r="S130" i="2"/>
  <c r="T130" i="2" s="1"/>
  <c r="U130" i="2" s="1"/>
  <c r="V130" i="2" s="1"/>
  <c r="S126" i="2"/>
  <c r="T126" i="2" s="1"/>
  <c r="U126" i="2" s="1"/>
  <c r="V126" i="2" s="1"/>
  <c r="S122" i="2"/>
  <c r="T122" i="2" s="1"/>
  <c r="U122" i="2" s="1"/>
  <c r="V122" i="2" s="1"/>
  <c r="S118" i="2"/>
  <c r="T118" i="2" s="1"/>
  <c r="U118" i="2" s="1"/>
  <c r="V118" i="2" s="1"/>
  <c r="S114" i="2"/>
  <c r="T114" i="2" s="1"/>
  <c r="U114" i="2" s="1"/>
  <c r="V114" i="2" s="1"/>
  <c r="S110" i="2"/>
  <c r="T110" i="2" s="1"/>
  <c r="U110" i="2" s="1"/>
  <c r="V110" i="2" s="1"/>
  <c r="S106" i="2"/>
  <c r="T106" i="2" s="1"/>
  <c r="U106" i="2" s="1"/>
  <c r="V106" i="2" s="1"/>
  <c r="S102" i="2"/>
  <c r="T102" i="2" s="1"/>
  <c r="U102" i="2" s="1"/>
  <c r="V102" i="2" s="1"/>
  <c r="S98" i="2"/>
  <c r="T98" i="2" s="1"/>
  <c r="U98" i="2" s="1"/>
  <c r="V98" i="2" s="1"/>
  <c r="S94" i="2"/>
  <c r="T94" i="2" s="1"/>
  <c r="U94" i="2" s="1"/>
  <c r="V94" i="2" s="1"/>
  <c r="S90" i="2"/>
  <c r="S86" i="2"/>
  <c r="T86" i="2" s="1"/>
  <c r="U86" i="2" s="1"/>
  <c r="V86" i="2" s="1"/>
  <c r="S82" i="2"/>
  <c r="T82" i="2" s="1"/>
  <c r="U82" i="2" s="1"/>
  <c r="V82" i="2" s="1"/>
  <c r="S78" i="2"/>
  <c r="T78" i="2" s="1"/>
  <c r="U78" i="2" s="1"/>
  <c r="V78" i="2" s="1"/>
  <c r="S74" i="2"/>
  <c r="T74" i="2" s="1"/>
  <c r="U74" i="2" s="1"/>
  <c r="V74" i="2" s="1"/>
  <c r="S70" i="2"/>
  <c r="T70" i="2" s="1"/>
  <c r="U70" i="2" s="1"/>
  <c r="V70" i="2" s="1"/>
  <c r="S66" i="2"/>
  <c r="T66" i="2" s="1"/>
  <c r="U66" i="2" s="1"/>
  <c r="V66" i="2" s="1"/>
  <c r="S62" i="2"/>
  <c r="T62" i="2" s="1"/>
  <c r="U62" i="2" s="1"/>
  <c r="V62" i="2" s="1"/>
  <c r="S58" i="2"/>
  <c r="S54" i="2"/>
  <c r="T54" i="2" s="1"/>
  <c r="U54" i="2" s="1"/>
  <c r="V54" i="2" s="1"/>
  <c r="S50" i="2"/>
  <c r="T50" i="2" s="1"/>
  <c r="U50" i="2" s="1"/>
  <c r="V50" i="2" s="1"/>
  <c r="S46" i="2"/>
  <c r="T46" i="2" s="1"/>
  <c r="U46" i="2" s="1"/>
  <c r="V46" i="2" s="1"/>
  <c r="S42" i="2"/>
  <c r="T42" i="2" s="1"/>
  <c r="U42" i="2" s="1"/>
  <c r="V42" i="2" s="1"/>
  <c r="S38" i="2"/>
  <c r="T38" i="2" s="1"/>
  <c r="U38" i="2" s="1"/>
  <c r="V38" i="2" s="1"/>
  <c r="S34" i="2"/>
  <c r="T34" i="2" s="1"/>
  <c r="U34" i="2" s="1"/>
  <c r="V34" i="2" s="1"/>
  <c r="S30" i="2"/>
  <c r="T30" i="2" s="1"/>
  <c r="U30" i="2" s="1"/>
  <c r="V30" i="2" s="1"/>
  <c r="S26" i="2"/>
  <c r="T26" i="2" s="1"/>
  <c r="U26" i="2" s="1"/>
  <c r="V26" i="2" s="1"/>
  <c r="S22" i="2"/>
  <c r="T22" i="2" s="1"/>
  <c r="U22" i="2" s="1"/>
  <c r="V22" i="2" s="1"/>
  <c r="S235" i="2"/>
  <c r="T235" i="2" s="1"/>
  <c r="U235" i="2" s="1"/>
  <c r="V235" i="2" s="1"/>
  <c r="S231" i="2"/>
  <c r="T231" i="2" s="1"/>
  <c r="U231" i="2" s="1"/>
  <c r="V231" i="2" s="1"/>
  <c r="S227" i="2"/>
  <c r="T227" i="2" s="1"/>
  <c r="U227" i="2" s="1"/>
  <c r="V227" i="2" s="1"/>
  <c r="S223" i="2"/>
  <c r="T223" i="2" s="1"/>
  <c r="U223" i="2" s="1"/>
  <c r="V223" i="2" s="1"/>
  <c r="S219" i="2"/>
  <c r="T219" i="2" s="1"/>
  <c r="U219" i="2" s="1"/>
  <c r="V219" i="2" s="1"/>
  <c r="S215" i="2"/>
  <c r="T215" i="2" s="1"/>
  <c r="U215" i="2" s="1"/>
  <c r="V215" i="2" s="1"/>
  <c r="S211" i="2"/>
  <c r="T211" i="2" s="1"/>
  <c r="U211" i="2" s="1"/>
  <c r="V211" i="2" s="1"/>
  <c r="S207" i="2"/>
  <c r="T207" i="2" s="1"/>
  <c r="U207" i="2" s="1"/>
  <c r="V207" i="2" s="1"/>
  <c r="S203" i="2"/>
  <c r="T203" i="2" s="1"/>
  <c r="U203" i="2" s="1"/>
  <c r="V203" i="2" s="1"/>
  <c r="S199" i="2"/>
  <c r="T199" i="2" s="1"/>
  <c r="U199" i="2" s="1"/>
  <c r="V199" i="2" s="1"/>
  <c r="S195" i="2"/>
  <c r="T195" i="2" s="1"/>
  <c r="U195" i="2" s="1"/>
  <c r="V195" i="2" s="1"/>
  <c r="S191" i="2"/>
  <c r="T191" i="2" s="1"/>
  <c r="U191" i="2" s="1"/>
  <c r="V191" i="2" s="1"/>
  <c r="S187" i="2"/>
  <c r="T187" i="2" s="1"/>
  <c r="U187" i="2" s="1"/>
  <c r="V187" i="2" s="1"/>
  <c r="S183" i="2"/>
  <c r="T183" i="2" s="1"/>
  <c r="U183" i="2" s="1"/>
  <c r="V183" i="2" s="1"/>
  <c r="S179" i="2"/>
  <c r="T179" i="2" s="1"/>
  <c r="U179" i="2" s="1"/>
  <c r="V179" i="2" s="1"/>
  <c r="S175" i="2"/>
  <c r="T175" i="2" s="1"/>
  <c r="U175" i="2" s="1"/>
  <c r="V175" i="2" s="1"/>
  <c r="S171" i="2"/>
  <c r="T171" i="2" s="1"/>
  <c r="U171" i="2" s="1"/>
  <c r="V171" i="2" s="1"/>
  <c r="S167" i="2"/>
  <c r="T167" i="2" s="1"/>
  <c r="U167" i="2" s="1"/>
  <c r="V167" i="2" s="1"/>
  <c r="S163" i="2"/>
  <c r="T163" i="2" s="1"/>
  <c r="U163" i="2" s="1"/>
  <c r="V163" i="2" s="1"/>
  <c r="S159" i="2"/>
  <c r="T159" i="2" s="1"/>
  <c r="U159" i="2" s="1"/>
  <c r="V159" i="2" s="1"/>
  <c r="S155" i="2"/>
  <c r="T155" i="2" s="1"/>
  <c r="U155" i="2" s="1"/>
  <c r="V155" i="2" s="1"/>
  <c r="S151" i="2"/>
  <c r="T151" i="2" s="1"/>
  <c r="U151" i="2" s="1"/>
  <c r="V151" i="2" s="1"/>
  <c r="S147" i="2"/>
  <c r="T147" i="2" s="1"/>
  <c r="U147" i="2" s="1"/>
  <c r="V147" i="2" s="1"/>
  <c r="S143" i="2"/>
  <c r="T143" i="2" s="1"/>
  <c r="U143" i="2" s="1"/>
  <c r="V143" i="2" s="1"/>
  <c r="S139" i="2"/>
  <c r="T139" i="2" s="1"/>
  <c r="U139" i="2" s="1"/>
  <c r="V139" i="2" s="1"/>
  <c r="S135" i="2"/>
  <c r="T135" i="2" s="1"/>
  <c r="U135" i="2" s="1"/>
  <c r="V135" i="2" s="1"/>
  <c r="S131" i="2"/>
  <c r="T131" i="2" s="1"/>
  <c r="U131" i="2" s="1"/>
  <c r="V131" i="2" s="1"/>
  <c r="S127" i="2"/>
  <c r="T127" i="2" s="1"/>
  <c r="U127" i="2" s="1"/>
  <c r="V127" i="2" s="1"/>
  <c r="S123" i="2"/>
  <c r="T123" i="2" s="1"/>
  <c r="U123" i="2" s="1"/>
  <c r="V123" i="2" s="1"/>
  <c r="S119" i="2"/>
  <c r="T119" i="2" s="1"/>
  <c r="U119" i="2" s="1"/>
  <c r="V119" i="2" s="1"/>
  <c r="S115" i="2"/>
  <c r="T115" i="2" s="1"/>
  <c r="U115" i="2" s="1"/>
  <c r="V115" i="2" s="1"/>
  <c r="S111" i="2"/>
  <c r="T111" i="2" s="1"/>
  <c r="U111" i="2" s="1"/>
  <c r="V111" i="2" s="1"/>
  <c r="S107" i="2"/>
  <c r="T107" i="2" s="1"/>
  <c r="U107" i="2" s="1"/>
  <c r="V107" i="2" s="1"/>
  <c r="S103" i="2"/>
  <c r="T103" i="2" s="1"/>
  <c r="U103" i="2" s="1"/>
  <c r="V103" i="2" s="1"/>
  <c r="S99" i="2"/>
  <c r="S95" i="2"/>
  <c r="T95" i="2" s="1"/>
  <c r="U95" i="2" s="1"/>
  <c r="V95" i="2" s="1"/>
  <c r="S91" i="2"/>
  <c r="T91" i="2" s="1"/>
  <c r="U91" i="2" s="1"/>
  <c r="V91" i="2" s="1"/>
  <c r="S87" i="2"/>
  <c r="T87" i="2" s="1"/>
  <c r="U87" i="2" s="1"/>
  <c r="V87" i="2" s="1"/>
  <c r="S83" i="2"/>
  <c r="T83" i="2" s="1"/>
  <c r="U83" i="2" s="1"/>
  <c r="V83" i="2" s="1"/>
  <c r="S79" i="2"/>
  <c r="T79" i="2" s="1"/>
  <c r="U79" i="2" s="1"/>
  <c r="V79" i="2" s="1"/>
  <c r="S75" i="2"/>
  <c r="T75" i="2" s="1"/>
  <c r="U75" i="2" s="1"/>
  <c r="V75" i="2" s="1"/>
  <c r="S71" i="2"/>
  <c r="T71" i="2" s="1"/>
  <c r="U71" i="2" s="1"/>
  <c r="V71" i="2" s="1"/>
  <c r="S67" i="2"/>
  <c r="T67" i="2" s="1"/>
  <c r="U67" i="2" s="1"/>
  <c r="V67" i="2" s="1"/>
  <c r="S63" i="2"/>
  <c r="T63" i="2" s="1"/>
  <c r="U63" i="2" s="1"/>
  <c r="V63" i="2" s="1"/>
  <c r="S59" i="2"/>
  <c r="T59" i="2" s="1"/>
  <c r="U59" i="2" s="1"/>
  <c r="V59" i="2" s="1"/>
  <c r="S55" i="2"/>
  <c r="T55" i="2" s="1"/>
  <c r="U55" i="2" s="1"/>
  <c r="V55" i="2" s="1"/>
  <c r="S51" i="2"/>
  <c r="T51" i="2" s="1"/>
  <c r="U51" i="2" s="1"/>
  <c r="V51" i="2" s="1"/>
  <c r="S47" i="2"/>
  <c r="T47" i="2" s="1"/>
  <c r="U47" i="2" s="1"/>
  <c r="V47" i="2" s="1"/>
  <c r="S43" i="2"/>
  <c r="T43" i="2" s="1"/>
  <c r="U43" i="2" s="1"/>
  <c r="V43" i="2" s="1"/>
  <c r="S39" i="2"/>
  <c r="T39" i="2" s="1"/>
  <c r="U39" i="2" s="1"/>
  <c r="V39" i="2" s="1"/>
  <c r="S35" i="2"/>
  <c r="T35" i="2" s="1"/>
  <c r="U35" i="2" s="1"/>
  <c r="V35" i="2" s="1"/>
  <c r="S31" i="2"/>
  <c r="T31" i="2" s="1"/>
  <c r="U31" i="2" s="1"/>
  <c r="V31" i="2" s="1"/>
  <c r="S27" i="2"/>
  <c r="T27" i="2" s="1"/>
  <c r="U27" i="2" s="1"/>
  <c r="V27" i="2" s="1"/>
  <c r="S23" i="2"/>
  <c r="T23" i="2" s="1"/>
  <c r="U23" i="2" s="1"/>
  <c r="V23" i="2" s="1"/>
  <c r="S19" i="2"/>
  <c r="T19" i="2" s="1"/>
  <c r="U19" i="2" s="1"/>
  <c r="V19" i="2" s="1"/>
  <c r="AS10" i="7"/>
  <c r="AS11" i="7"/>
  <c r="AT9" i="7"/>
  <c r="S236" i="2"/>
  <c r="T236" i="2" s="1"/>
  <c r="U236" i="2" s="1"/>
  <c r="V236" i="2" s="1"/>
  <c r="S232" i="2"/>
  <c r="T232" i="2" s="1"/>
  <c r="U232" i="2" s="1"/>
  <c r="V232" i="2" s="1"/>
  <c r="S228" i="2"/>
  <c r="T228" i="2" s="1"/>
  <c r="U228" i="2" s="1"/>
  <c r="V228" i="2" s="1"/>
  <c r="S224" i="2"/>
  <c r="T224" i="2" s="1"/>
  <c r="U224" i="2" s="1"/>
  <c r="V224" i="2" s="1"/>
  <c r="S220" i="2"/>
  <c r="T220" i="2" s="1"/>
  <c r="U220" i="2" s="1"/>
  <c r="V220" i="2" s="1"/>
  <c r="S216" i="2"/>
  <c r="T216" i="2" s="1"/>
  <c r="U216" i="2" s="1"/>
  <c r="V216" i="2" s="1"/>
  <c r="S212" i="2"/>
  <c r="T212" i="2" s="1"/>
  <c r="U212" i="2" s="1"/>
  <c r="V212" i="2" s="1"/>
  <c r="S208" i="2"/>
  <c r="T208" i="2" s="1"/>
  <c r="U208" i="2" s="1"/>
  <c r="V208" i="2" s="1"/>
  <c r="S204" i="2"/>
  <c r="T204" i="2" s="1"/>
  <c r="U204" i="2" s="1"/>
  <c r="V204" i="2" s="1"/>
  <c r="S200" i="2"/>
  <c r="T200" i="2" s="1"/>
  <c r="U200" i="2" s="1"/>
  <c r="V200" i="2" s="1"/>
  <c r="S196" i="2"/>
  <c r="T196" i="2" s="1"/>
  <c r="U196" i="2" s="1"/>
  <c r="V196" i="2" s="1"/>
  <c r="S192" i="2"/>
  <c r="T192" i="2" s="1"/>
  <c r="U192" i="2" s="1"/>
  <c r="V192" i="2" s="1"/>
  <c r="S188" i="2"/>
  <c r="T188" i="2" s="1"/>
  <c r="U188" i="2" s="1"/>
  <c r="V188" i="2" s="1"/>
  <c r="S184" i="2"/>
  <c r="T184" i="2" s="1"/>
  <c r="U184" i="2" s="1"/>
  <c r="V184" i="2" s="1"/>
  <c r="S180" i="2"/>
  <c r="T180" i="2" s="1"/>
  <c r="U180" i="2" s="1"/>
  <c r="V180" i="2" s="1"/>
  <c r="S176" i="2"/>
  <c r="T176" i="2" s="1"/>
  <c r="U176" i="2" s="1"/>
  <c r="V176" i="2" s="1"/>
  <c r="S172" i="2"/>
  <c r="T172" i="2" s="1"/>
  <c r="U172" i="2" s="1"/>
  <c r="V172" i="2" s="1"/>
  <c r="S168" i="2"/>
  <c r="T168" i="2" s="1"/>
  <c r="U168" i="2" s="1"/>
  <c r="V168" i="2" s="1"/>
  <c r="S164" i="2"/>
  <c r="T164" i="2" s="1"/>
  <c r="U164" i="2" s="1"/>
  <c r="V164" i="2" s="1"/>
  <c r="S160" i="2"/>
  <c r="T160" i="2" s="1"/>
  <c r="U160" i="2" s="1"/>
  <c r="V160" i="2" s="1"/>
  <c r="S156" i="2"/>
  <c r="T156" i="2" s="1"/>
  <c r="U156" i="2" s="1"/>
  <c r="V156" i="2" s="1"/>
  <c r="S152" i="2"/>
  <c r="T152" i="2" s="1"/>
  <c r="U152" i="2" s="1"/>
  <c r="V152" i="2" s="1"/>
  <c r="S148" i="2"/>
  <c r="T148" i="2" s="1"/>
  <c r="U148" i="2" s="1"/>
  <c r="V148" i="2" s="1"/>
  <c r="S144" i="2"/>
  <c r="T144" i="2" s="1"/>
  <c r="U144" i="2" s="1"/>
  <c r="V144" i="2" s="1"/>
  <c r="S140" i="2"/>
  <c r="T140" i="2" s="1"/>
  <c r="U140" i="2" s="1"/>
  <c r="V140" i="2" s="1"/>
  <c r="S136" i="2"/>
  <c r="T136" i="2" s="1"/>
  <c r="U136" i="2" s="1"/>
  <c r="V136" i="2" s="1"/>
  <c r="S132" i="2"/>
  <c r="T132" i="2" s="1"/>
  <c r="U132" i="2" s="1"/>
  <c r="V132" i="2" s="1"/>
  <c r="S128" i="2"/>
  <c r="T128" i="2" s="1"/>
  <c r="U128" i="2" s="1"/>
  <c r="V128" i="2" s="1"/>
  <c r="S124" i="2"/>
  <c r="T124" i="2" s="1"/>
  <c r="U124" i="2" s="1"/>
  <c r="V124" i="2" s="1"/>
  <c r="S120" i="2"/>
  <c r="T120" i="2" s="1"/>
  <c r="U120" i="2" s="1"/>
  <c r="V120" i="2" s="1"/>
  <c r="S116" i="2"/>
  <c r="T116" i="2" s="1"/>
  <c r="U116" i="2" s="1"/>
  <c r="V116" i="2" s="1"/>
  <c r="S112" i="2"/>
  <c r="T112" i="2" s="1"/>
  <c r="U112" i="2" s="1"/>
  <c r="V112" i="2" s="1"/>
  <c r="S108" i="2"/>
  <c r="T108" i="2" s="1"/>
  <c r="U108" i="2" s="1"/>
  <c r="V108" i="2" s="1"/>
  <c r="S104" i="2"/>
  <c r="T104" i="2" s="1"/>
  <c r="U104" i="2" s="1"/>
  <c r="V104" i="2" s="1"/>
  <c r="S100" i="2"/>
  <c r="T100" i="2" s="1"/>
  <c r="U100" i="2" s="1"/>
  <c r="V100" i="2" s="1"/>
  <c r="S96" i="2"/>
  <c r="T96" i="2" s="1"/>
  <c r="U96" i="2" s="1"/>
  <c r="V96" i="2" s="1"/>
  <c r="S92" i="2"/>
  <c r="T92" i="2" s="1"/>
  <c r="U92" i="2" s="1"/>
  <c r="V92" i="2" s="1"/>
  <c r="S88" i="2"/>
  <c r="T88" i="2" s="1"/>
  <c r="U88" i="2" s="1"/>
  <c r="V88" i="2" s="1"/>
  <c r="S84" i="2"/>
  <c r="T84" i="2" s="1"/>
  <c r="U84" i="2" s="1"/>
  <c r="V84" i="2" s="1"/>
  <c r="S80" i="2"/>
  <c r="T80" i="2" s="1"/>
  <c r="U80" i="2" s="1"/>
  <c r="V80" i="2" s="1"/>
  <c r="S76" i="2"/>
  <c r="T76" i="2" s="1"/>
  <c r="U76" i="2" s="1"/>
  <c r="V76" i="2" s="1"/>
  <c r="S72" i="2"/>
  <c r="T72" i="2" s="1"/>
  <c r="U72" i="2" s="1"/>
  <c r="V72" i="2" s="1"/>
  <c r="S68" i="2"/>
  <c r="T68" i="2" s="1"/>
  <c r="U68" i="2" s="1"/>
  <c r="V68" i="2" s="1"/>
  <c r="S64" i="2"/>
  <c r="T64" i="2" s="1"/>
  <c r="U64" i="2" s="1"/>
  <c r="V64" i="2" s="1"/>
  <c r="S60" i="2"/>
  <c r="T60" i="2" s="1"/>
  <c r="U60" i="2" s="1"/>
  <c r="V60" i="2" s="1"/>
  <c r="S56" i="2"/>
  <c r="T56" i="2" s="1"/>
  <c r="U56" i="2" s="1"/>
  <c r="V56" i="2" s="1"/>
  <c r="S52" i="2"/>
  <c r="T52" i="2" s="1"/>
  <c r="U52" i="2" s="1"/>
  <c r="V52" i="2" s="1"/>
  <c r="S48" i="2"/>
  <c r="T48" i="2" s="1"/>
  <c r="U48" i="2" s="1"/>
  <c r="V48" i="2" s="1"/>
  <c r="S44" i="2"/>
  <c r="T44" i="2" s="1"/>
  <c r="U44" i="2" s="1"/>
  <c r="V44" i="2" s="1"/>
  <c r="S40" i="2"/>
  <c r="T40" i="2" s="1"/>
  <c r="U40" i="2" s="1"/>
  <c r="V40" i="2" s="1"/>
  <c r="S36" i="2"/>
  <c r="T36" i="2" s="1"/>
  <c r="U36" i="2" s="1"/>
  <c r="V36" i="2" s="1"/>
  <c r="S32" i="2"/>
  <c r="T32" i="2" s="1"/>
  <c r="U32" i="2" s="1"/>
  <c r="V32" i="2" s="1"/>
  <c r="S28" i="2"/>
  <c r="T28" i="2" s="1"/>
  <c r="U28" i="2" s="1"/>
  <c r="V28" i="2" s="1"/>
  <c r="S24" i="2"/>
  <c r="T24" i="2" s="1"/>
  <c r="U24" i="2" s="1"/>
  <c r="V24" i="2" s="1"/>
  <c r="S20" i="2"/>
  <c r="T20" i="2" s="1"/>
  <c r="U20" i="2" s="1"/>
  <c r="V20" i="2" s="1"/>
  <c r="T25" i="2"/>
  <c r="U25" i="2" s="1"/>
  <c r="V25" i="2" s="1"/>
  <c r="T29" i="2"/>
  <c r="U29" i="2" s="1"/>
  <c r="V29" i="2" s="1"/>
  <c r="T41" i="2"/>
  <c r="U41" i="2" s="1"/>
  <c r="V41" i="2" s="1"/>
  <c r="T45" i="2"/>
  <c r="U45" i="2" s="1"/>
  <c r="V45" i="2" s="1"/>
  <c r="T53" i="2"/>
  <c r="U53" i="2" s="1"/>
  <c r="V53" i="2" s="1"/>
  <c r="T57" i="2"/>
  <c r="U57" i="2" s="1"/>
  <c r="V57" i="2" s="1"/>
  <c r="T61" i="2"/>
  <c r="U61" i="2" s="1"/>
  <c r="V61" i="2" s="1"/>
  <c r="T73" i="2"/>
  <c r="U73" i="2" s="1"/>
  <c r="V73" i="2" s="1"/>
  <c r="T77" i="2"/>
  <c r="U77" i="2" s="1"/>
  <c r="V77" i="2" s="1"/>
  <c r="T93" i="2"/>
  <c r="U93" i="2" s="1"/>
  <c r="V93" i="2" s="1"/>
  <c r="T101" i="2"/>
  <c r="U101" i="2" s="1"/>
  <c r="V101" i="2" s="1"/>
  <c r="T105" i="2"/>
  <c r="U105" i="2" s="1"/>
  <c r="V105" i="2" s="1"/>
  <c r="T109" i="2"/>
  <c r="U109" i="2" s="1"/>
  <c r="V109" i="2" s="1"/>
  <c r="T121" i="2"/>
  <c r="U121" i="2" s="1"/>
  <c r="V121" i="2" s="1"/>
  <c r="T125" i="2"/>
  <c r="U125" i="2" s="1"/>
  <c r="V125" i="2" s="1"/>
  <c r="T133" i="2"/>
  <c r="U133" i="2" s="1"/>
  <c r="V133" i="2" s="1"/>
  <c r="T137" i="2"/>
  <c r="U137" i="2" s="1"/>
  <c r="V137" i="2" s="1"/>
  <c r="T141" i="2"/>
  <c r="U141" i="2" s="1"/>
  <c r="V141" i="2" s="1"/>
  <c r="T153" i="2"/>
  <c r="U153" i="2" s="1"/>
  <c r="V153" i="2" s="1"/>
  <c r="T157" i="2"/>
  <c r="U157" i="2" s="1"/>
  <c r="V157" i="2" s="1"/>
  <c r="T165" i="2"/>
  <c r="U165" i="2" s="1"/>
  <c r="V165" i="2" s="1"/>
  <c r="T169" i="2"/>
  <c r="U169" i="2" s="1"/>
  <c r="V169" i="2" s="1"/>
  <c r="T173" i="2"/>
  <c r="U173" i="2" s="1"/>
  <c r="V173" i="2" s="1"/>
  <c r="T185" i="2"/>
  <c r="U185" i="2" s="1"/>
  <c r="V185" i="2" s="1"/>
  <c r="T189" i="2"/>
  <c r="U189" i="2" s="1"/>
  <c r="V189" i="2" s="1"/>
  <c r="T197" i="2"/>
  <c r="U197" i="2" s="1"/>
  <c r="V197" i="2" s="1"/>
  <c r="T201" i="2"/>
  <c r="U201" i="2" s="1"/>
  <c r="V201" i="2" s="1"/>
  <c r="T205" i="2"/>
  <c r="U205" i="2" s="1"/>
  <c r="V205" i="2" s="1"/>
  <c r="T217" i="2"/>
  <c r="U217" i="2" s="1"/>
  <c r="V217" i="2" s="1"/>
  <c r="T221" i="2"/>
  <c r="U221" i="2" s="1"/>
  <c r="V221" i="2" s="1"/>
  <c r="T229" i="2"/>
  <c r="U229" i="2" s="1"/>
  <c r="V229" i="2" s="1"/>
  <c r="T233" i="2"/>
  <c r="U233" i="2" s="1"/>
  <c r="V233" i="2" s="1"/>
  <c r="T237" i="2"/>
  <c r="U237" i="2" s="1"/>
  <c r="V237" i="2" s="1"/>
  <c r="T99" i="2"/>
  <c r="U99" i="2" s="1"/>
  <c r="V99" i="2" s="1"/>
  <c r="T218" i="2"/>
  <c r="U218" i="2" s="1"/>
  <c r="V218" i="2" s="1"/>
  <c r="T90" i="2"/>
  <c r="U90" i="2" s="1"/>
  <c r="V90" i="2" s="1"/>
  <c r="T58" i="2"/>
  <c r="U58" i="2" s="1"/>
  <c r="V58" i="2" s="1"/>
  <c r="T225" i="2"/>
  <c r="U225" i="2" s="1"/>
  <c r="V225" i="2" s="1"/>
  <c r="T213" i="2"/>
  <c r="U213" i="2" s="1"/>
  <c r="V213" i="2" s="1"/>
  <c r="T209" i="2"/>
  <c r="U209" i="2" s="1"/>
  <c r="V209" i="2" s="1"/>
  <c r="T193" i="2"/>
  <c r="U193" i="2" s="1"/>
  <c r="V193" i="2" s="1"/>
  <c r="T181" i="2"/>
  <c r="U181" i="2" s="1"/>
  <c r="V181" i="2" s="1"/>
  <c r="T177" i="2"/>
  <c r="U177" i="2" s="1"/>
  <c r="V177" i="2" s="1"/>
  <c r="T161" i="2"/>
  <c r="U161" i="2" s="1"/>
  <c r="V161" i="2" s="1"/>
  <c r="T149" i="2"/>
  <c r="U149" i="2" s="1"/>
  <c r="V149" i="2" s="1"/>
  <c r="T145" i="2"/>
  <c r="U145" i="2" s="1"/>
  <c r="V145" i="2" s="1"/>
  <c r="T129" i="2"/>
  <c r="U129" i="2" s="1"/>
  <c r="V129" i="2" s="1"/>
  <c r="T117" i="2"/>
  <c r="U117" i="2" s="1"/>
  <c r="V117" i="2" s="1"/>
  <c r="T113" i="2"/>
  <c r="U113" i="2" s="1"/>
  <c r="V113" i="2" s="1"/>
  <c r="T97" i="2"/>
  <c r="U97" i="2" s="1"/>
  <c r="V97" i="2" s="1"/>
  <c r="T89" i="2"/>
  <c r="U89" i="2" s="1"/>
  <c r="V89" i="2" s="1"/>
  <c r="T85" i="2"/>
  <c r="U85" i="2" s="1"/>
  <c r="V85" i="2" s="1"/>
  <c r="T81" i="2"/>
  <c r="U81" i="2" s="1"/>
  <c r="V81" i="2" s="1"/>
  <c r="T69" i="2"/>
  <c r="U69" i="2" s="1"/>
  <c r="V69" i="2" s="1"/>
  <c r="T65" i="2"/>
  <c r="U65" i="2" s="1"/>
  <c r="V65" i="2" s="1"/>
  <c r="T49" i="2"/>
  <c r="U49" i="2" s="1"/>
  <c r="V49" i="2" s="1"/>
  <c r="T37" i="2"/>
  <c r="U37" i="2" s="1"/>
  <c r="V37" i="2" s="1"/>
  <c r="T33" i="2"/>
  <c r="U33" i="2" s="1"/>
  <c r="V33" i="2" s="1"/>
  <c r="T21" i="2"/>
  <c r="U21" i="2" s="1"/>
  <c r="V21" i="2" s="1"/>
  <c r="AT60" i="7" l="1"/>
  <c r="AT61" i="7"/>
  <c r="AT66" i="7"/>
  <c r="AT65" i="7"/>
  <c r="AT52" i="7"/>
  <c r="AT64" i="7"/>
  <c r="AT58" i="7"/>
  <c r="AT57" i="7"/>
  <c r="AT56" i="7"/>
  <c r="AT55" i="7"/>
  <c r="AT53" i="7"/>
  <c r="AT59" i="7"/>
  <c r="AT54" i="7"/>
  <c r="AT47" i="7"/>
  <c r="AT40" i="7"/>
  <c r="AT51" i="7"/>
  <c r="AT42" i="7"/>
  <c r="AT32" i="7"/>
  <c r="AT41" i="7"/>
  <c r="AT37" i="7"/>
  <c r="AT33" i="7"/>
  <c r="AT26" i="7"/>
  <c r="AT46" i="7"/>
  <c r="AT43" i="7"/>
  <c r="AT50" i="7"/>
  <c r="AT48" i="7"/>
  <c r="AT25" i="7"/>
  <c r="AT19" i="7"/>
  <c r="AT24" i="7"/>
  <c r="AT23" i="7"/>
  <c r="AT20" i="7"/>
  <c r="AT34" i="7"/>
  <c r="AT22" i="7"/>
  <c r="AT39" i="7"/>
  <c r="AT14" i="7"/>
  <c r="AT21" i="7"/>
  <c r="AT18" i="7"/>
  <c r="AT12" i="7"/>
  <c r="AT17" i="7"/>
  <c r="AT38" i="7"/>
  <c r="AT31" i="7"/>
  <c r="AT15" i="7"/>
  <c r="AT13" i="7"/>
  <c r="AT62" i="7"/>
  <c r="AT49" i="7"/>
  <c r="AT63" i="7"/>
  <c r="AT45" i="7"/>
  <c r="AT28" i="7"/>
  <c r="AT29" i="7"/>
  <c r="AT27" i="7"/>
  <c r="AT35" i="7"/>
  <c r="AT30" i="7"/>
  <c r="AT44" i="7"/>
  <c r="AT16" i="7"/>
  <c r="AT36" i="7"/>
  <c r="AT11" i="7"/>
  <c r="AT10" i="7"/>
  <c r="AU9" i="7"/>
  <c r="V238" i="2"/>
  <c r="H17" i="1" s="1"/>
  <c r="H16" i="1" s="1"/>
  <c r="AU61" i="7" l="1"/>
  <c r="AU62" i="7"/>
  <c r="AU66" i="7"/>
  <c r="AU64" i="7"/>
  <c r="AU58" i="7"/>
  <c r="AU57" i="7"/>
  <c r="AU56" i="7"/>
  <c r="AU55" i="7"/>
  <c r="AU53" i="7"/>
  <c r="AU63" i="7"/>
  <c r="AU54" i="7"/>
  <c r="AU65" i="7"/>
  <c r="AU60" i="7"/>
  <c r="AU47" i="7"/>
  <c r="AU40" i="7"/>
  <c r="AU48" i="7"/>
  <c r="AU41" i="7"/>
  <c r="AU59" i="7"/>
  <c r="AU33" i="7"/>
  <c r="AU34" i="7"/>
  <c r="AU46" i="7"/>
  <c r="AU43" i="7"/>
  <c r="AU32" i="7"/>
  <c r="AU27" i="7"/>
  <c r="AU45" i="7"/>
  <c r="AU44" i="7"/>
  <c r="AU31" i="7"/>
  <c r="AU51" i="7"/>
  <c r="AU39" i="7"/>
  <c r="AU52" i="7"/>
  <c r="AU24" i="7"/>
  <c r="AU23" i="7"/>
  <c r="AU20" i="7"/>
  <c r="AU21" i="7"/>
  <c r="AU37" i="7"/>
  <c r="AU25" i="7"/>
  <c r="AU18" i="7"/>
  <c r="AU12" i="7"/>
  <c r="AU49" i="7"/>
  <c r="AU30" i="7"/>
  <c r="AU28" i="7"/>
  <c r="AU35" i="7"/>
  <c r="AU42" i="7"/>
  <c r="AU38" i="7"/>
  <c r="AU15" i="7"/>
  <c r="AU13" i="7"/>
  <c r="AU17" i="7"/>
  <c r="AU14" i="7"/>
  <c r="AU16" i="7"/>
  <c r="AU22" i="7"/>
  <c r="AU29" i="7"/>
  <c r="AU50" i="7"/>
  <c r="AU36" i="7"/>
  <c r="AU26" i="7"/>
  <c r="AU19" i="7"/>
  <c r="AU10" i="7"/>
  <c r="AU11" i="7"/>
  <c r="AV9" i="7"/>
  <c r="AV62" i="7" l="1"/>
  <c r="AV63" i="7"/>
  <c r="AV55" i="7"/>
  <c r="AV54" i="7"/>
  <c r="AV59" i="7"/>
  <c r="AV65" i="7"/>
  <c r="AV57" i="7"/>
  <c r="AV48" i="7"/>
  <c r="AV41" i="7"/>
  <c r="AV64" i="7"/>
  <c r="AV53" i="7"/>
  <c r="AV49" i="7"/>
  <c r="AV42" i="7"/>
  <c r="AV35" i="7"/>
  <c r="AV61" i="7"/>
  <c r="AV47" i="7"/>
  <c r="AV34" i="7"/>
  <c r="AV46" i="7"/>
  <c r="AV58" i="7"/>
  <c r="AV56" i="7"/>
  <c r="AV51" i="7"/>
  <c r="AV45" i="7"/>
  <c r="AV44" i="7"/>
  <c r="AV31" i="7"/>
  <c r="AV30" i="7"/>
  <c r="AV66" i="7"/>
  <c r="AV37" i="7"/>
  <c r="AV40" i="7"/>
  <c r="AV21" i="7"/>
  <c r="AV22" i="7"/>
  <c r="AV43" i="7"/>
  <c r="AV60" i="7"/>
  <c r="AV38" i="7"/>
  <c r="AV15" i="7"/>
  <c r="AV13" i="7"/>
  <c r="AV36" i="7"/>
  <c r="AV23" i="7"/>
  <c r="AV17" i="7"/>
  <c r="AV14" i="7"/>
  <c r="AV39" i="7"/>
  <c r="AV28" i="7"/>
  <c r="AV26" i="7"/>
  <c r="AV20" i="7"/>
  <c r="AV16" i="7"/>
  <c r="AV33" i="7"/>
  <c r="AV32" i="7"/>
  <c r="AV50" i="7"/>
  <c r="AV29" i="7"/>
  <c r="AV27" i="7"/>
  <c r="AV12" i="7"/>
  <c r="AV52" i="7"/>
  <c r="AV25" i="7"/>
  <c r="AV19" i="7"/>
  <c r="AV18" i="7"/>
  <c r="AV24" i="7"/>
  <c r="AV10" i="7"/>
  <c r="AV11" i="7"/>
  <c r="AW9" i="7"/>
  <c r="J145" i="6"/>
  <c r="J128" i="6"/>
  <c r="J111" i="6"/>
  <c r="J94" i="6"/>
  <c r="J77" i="6"/>
  <c r="J60" i="6"/>
  <c r="J156" i="6" s="1"/>
  <c r="AW63" i="7" l="1"/>
  <c r="AW64" i="7"/>
  <c r="AW56" i="7"/>
  <c r="AW59" i="7"/>
  <c r="AW66" i="7"/>
  <c r="AW53" i="7"/>
  <c r="AW49" i="7"/>
  <c r="AW42" i="7"/>
  <c r="AW61" i="7"/>
  <c r="AW50" i="7"/>
  <c r="AW43" i="7"/>
  <c r="AW62" i="7"/>
  <c r="AW60" i="7"/>
  <c r="AW46" i="7"/>
  <c r="AW41" i="7"/>
  <c r="AW40" i="7"/>
  <c r="AW57" i="7"/>
  <c r="AW54" i="7"/>
  <c r="AW65" i="7"/>
  <c r="AW30" i="7"/>
  <c r="AW29" i="7"/>
  <c r="AW28" i="7"/>
  <c r="AW58" i="7"/>
  <c r="AW55" i="7"/>
  <c r="AW47" i="7"/>
  <c r="AW38" i="7"/>
  <c r="AW36" i="7"/>
  <c r="AW22" i="7"/>
  <c r="AW34" i="7"/>
  <c r="AW51" i="7"/>
  <c r="AW45" i="7"/>
  <c r="AW33" i="7"/>
  <c r="AW23" i="7"/>
  <c r="AW21" i="7"/>
  <c r="AW17" i="7"/>
  <c r="AW14" i="7"/>
  <c r="AW24" i="7"/>
  <c r="AW19" i="7"/>
  <c r="AW48" i="7"/>
  <c r="AW39" i="7"/>
  <c r="AW31" i="7"/>
  <c r="AW26" i="7"/>
  <c r="AW20" i="7"/>
  <c r="AW16" i="7"/>
  <c r="AW32" i="7"/>
  <c r="AW35" i="7"/>
  <c r="AW44" i="7"/>
  <c r="AW52" i="7"/>
  <c r="AW18" i="7"/>
  <c r="AW27" i="7"/>
  <c r="AW25" i="7"/>
  <c r="AW12" i="7"/>
  <c r="AW37" i="7"/>
  <c r="AW13" i="7"/>
  <c r="AW15" i="7"/>
  <c r="AW10" i="7"/>
  <c r="AW11" i="7"/>
  <c r="AX9" i="7"/>
  <c r="AX64" i="7" l="1"/>
  <c r="AX65" i="7"/>
  <c r="AX57" i="7"/>
  <c r="AX63" i="7"/>
  <c r="AX62" i="7"/>
  <c r="AX61" i="7"/>
  <c r="AX50" i="7"/>
  <c r="AX43" i="7"/>
  <c r="AX58" i="7"/>
  <c r="AX55" i="7"/>
  <c r="AX52" i="7"/>
  <c r="AX44" i="7"/>
  <c r="AX36" i="7"/>
  <c r="AX66" i="7"/>
  <c r="AX59" i="7"/>
  <c r="AX54" i="7"/>
  <c r="AX40" i="7"/>
  <c r="AX28" i="7"/>
  <c r="AX45" i="7"/>
  <c r="AX47" i="7"/>
  <c r="AX38" i="7"/>
  <c r="AX56" i="7"/>
  <c r="AX48" i="7"/>
  <c r="AX42" i="7"/>
  <c r="AX34" i="7"/>
  <c r="AX15" i="7"/>
  <c r="AX53" i="7"/>
  <c r="AX51" i="7"/>
  <c r="AX33" i="7"/>
  <c r="AX16" i="7"/>
  <c r="AX35" i="7"/>
  <c r="AX30" i="7"/>
  <c r="AX29" i="7"/>
  <c r="AX39" i="7"/>
  <c r="AX31" i="7"/>
  <c r="AX26" i="7"/>
  <c r="AX20" i="7"/>
  <c r="AX32" i="7"/>
  <c r="AX49" i="7"/>
  <c r="AX46" i="7"/>
  <c r="AX24" i="7"/>
  <c r="AX19" i="7"/>
  <c r="AX41" i="7"/>
  <c r="AX27" i="7"/>
  <c r="AX25" i="7"/>
  <c r="AX17" i="7"/>
  <c r="AX18" i="7"/>
  <c r="AX12" i="7"/>
  <c r="AX22" i="7"/>
  <c r="AX13" i="7"/>
  <c r="AX23" i="7"/>
  <c r="AX21" i="7"/>
  <c r="AX14" i="7"/>
  <c r="AX60" i="7"/>
  <c r="AX37" i="7"/>
  <c r="AX11" i="7"/>
  <c r="AX10" i="7"/>
  <c r="AY9" i="7"/>
  <c r="AY65" i="7" l="1"/>
  <c r="AY66" i="7"/>
  <c r="AY58" i="7"/>
  <c r="AY62" i="7"/>
  <c r="AY61" i="7"/>
  <c r="AY51" i="7"/>
  <c r="AY64" i="7"/>
  <c r="AY55" i="7"/>
  <c r="AY52" i="7"/>
  <c r="AY44" i="7"/>
  <c r="AY45" i="7"/>
  <c r="AY37" i="7"/>
  <c r="AY57" i="7"/>
  <c r="AY53" i="7"/>
  <c r="AY29" i="7"/>
  <c r="AY60" i="7"/>
  <c r="AY39" i="7"/>
  <c r="AY56" i="7"/>
  <c r="AY48" i="7"/>
  <c r="AY36" i="7"/>
  <c r="AY23" i="7"/>
  <c r="AY63" i="7"/>
  <c r="AY54" i="7"/>
  <c r="AY50" i="7"/>
  <c r="AY49" i="7"/>
  <c r="AY46" i="7"/>
  <c r="AY43" i="7"/>
  <c r="AY33" i="7"/>
  <c r="AY16" i="7"/>
  <c r="AY35" i="7"/>
  <c r="AY30" i="7"/>
  <c r="AY17" i="7"/>
  <c r="AY47" i="7"/>
  <c r="AY31" i="7"/>
  <c r="AY42" i="7"/>
  <c r="AY32" i="7"/>
  <c r="AY40" i="7"/>
  <c r="AY59" i="7"/>
  <c r="AY28" i="7"/>
  <c r="AY24" i="7"/>
  <c r="AY19" i="7"/>
  <c r="AY27" i="7"/>
  <c r="AY41" i="7"/>
  <c r="AY21" i="7"/>
  <c r="AY14" i="7"/>
  <c r="AY22" i="7"/>
  <c r="AY34" i="7"/>
  <c r="AY26" i="7"/>
  <c r="AY20" i="7"/>
  <c r="AY18" i="7"/>
  <c r="AY12" i="7"/>
  <c r="AY15" i="7"/>
  <c r="AY38" i="7"/>
  <c r="AY25" i="7"/>
  <c r="AY13" i="7"/>
  <c r="AY10" i="7"/>
  <c r="AY11" i="7"/>
  <c r="AZ9" i="7"/>
  <c r="AZ66" i="7" l="1"/>
  <c r="AZ59" i="7"/>
  <c r="AZ61" i="7"/>
  <c r="AZ51" i="7"/>
  <c r="AZ63" i="7"/>
  <c r="AZ64" i="7"/>
  <c r="AZ58" i="7"/>
  <c r="AZ45" i="7"/>
  <c r="AZ46" i="7"/>
  <c r="AZ38" i="7"/>
  <c r="AZ65" i="7"/>
  <c r="AZ60" i="7"/>
  <c r="AZ39" i="7"/>
  <c r="AZ30" i="7"/>
  <c r="AZ52" i="7"/>
  <c r="AZ50" i="7"/>
  <c r="AZ35" i="7"/>
  <c r="AZ62" i="7"/>
  <c r="AZ53" i="7"/>
  <c r="AZ55" i="7"/>
  <c r="AZ54" i="7"/>
  <c r="AZ49" i="7"/>
  <c r="AZ24" i="7"/>
  <c r="AZ57" i="7"/>
  <c r="AZ34" i="7"/>
  <c r="AZ47" i="7"/>
  <c r="AZ44" i="7"/>
  <c r="AZ17" i="7"/>
  <c r="AZ43" i="7"/>
  <c r="AZ31" i="7"/>
  <c r="AZ29" i="7"/>
  <c r="AZ27" i="7"/>
  <c r="AZ26" i="7"/>
  <c r="AZ18" i="7"/>
  <c r="AZ41" i="7"/>
  <c r="AZ36" i="7"/>
  <c r="AZ48" i="7"/>
  <c r="AZ28" i="7"/>
  <c r="AZ19" i="7"/>
  <c r="AZ16" i="7"/>
  <c r="AZ40" i="7"/>
  <c r="AZ33" i="7"/>
  <c r="AZ25" i="7"/>
  <c r="AZ12" i="7"/>
  <c r="AZ23" i="7"/>
  <c r="AZ22" i="7"/>
  <c r="AZ37" i="7"/>
  <c r="AZ15" i="7"/>
  <c r="AZ56" i="7"/>
  <c r="AZ13" i="7"/>
  <c r="AZ42" i="7"/>
  <c r="AZ32" i="7"/>
  <c r="AZ21" i="7"/>
  <c r="AZ14" i="7"/>
  <c r="AZ20" i="7"/>
  <c r="AZ10" i="7"/>
  <c r="AZ11" i="7"/>
  <c r="BA9" i="7"/>
  <c r="I156" i="6"/>
  <c r="H57" i="1"/>
  <c r="BA59" i="7" l="1"/>
  <c r="BA60" i="7"/>
  <c r="BA52" i="7"/>
  <c r="BA62" i="7"/>
  <c r="BA46" i="7"/>
  <c r="BA56" i="7"/>
  <c r="BA51" i="7"/>
  <c r="BA39" i="7"/>
  <c r="BA55" i="7"/>
  <c r="BA50" i="7"/>
  <c r="BA45" i="7"/>
  <c r="BA35" i="7"/>
  <c r="BA31" i="7"/>
  <c r="BA66" i="7"/>
  <c r="BA65" i="7"/>
  <c r="BA49" i="7"/>
  <c r="BA44" i="7"/>
  <c r="BA38" i="7"/>
  <c r="BA37" i="7"/>
  <c r="BA36" i="7"/>
  <c r="BA63" i="7"/>
  <c r="BA58" i="7"/>
  <c r="BA57" i="7"/>
  <c r="BA34" i="7"/>
  <c r="BA25" i="7"/>
  <c r="BA53" i="7"/>
  <c r="BA40" i="7"/>
  <c r="BA48" i="7"/>
  <c r="BA43" i="7"/>
  <c r="BA30" i="7"/>
  <c r="BA29" i="7"/>
  <c r="BA27" i="7"/>
  <c r="BA26" i="7"/>
  <c r="BA18" i="7"/>
  <c r="BA47" i="7"/>
  <c r="BA41" i="7"/>
  <c r="BA19" i="7"/>
  <c r="BA32" i="7"/>
  <c r="BA28" i="7"/>
  <c r="BA24" i="7"/>
  <c r="BA12" i="7"/>
  <c r="BA22" i="7"/>
  <c r="BA13" i="7"/>
  <c r="BA64" i="7"/>
  <c r="BA33" i="7"/>
  <c r="BA61" i="7"/>
  <c r="BA54" i="7"/>
  <c r="BA20" i="7"/>
  <c r="BA15" i="7"/>
  <c r="BA42" i="7"/>
  <c r="BA21" i="7"/>
  <c r="BA14" i="7"/>
  <c r="BA23" i="7"/>
  <c r="BA17" i="7"/>
  <c r="BA16" i="7"/>
  <c r="J157" i="6"/>
  <c r="H51" i="1" s="1"/>
  <c r="BA10" i="7"/>
  <c r="BA11" i="7"/>
  <c r="BB9" i="7"/>
  <c r="H58" i="1"/>
  <c r="BB60" i="7" l="1"/>
  <c r="BB61" i="7"/>
  <c r="BB66" i="7"/>
  <c r="BB52" i="7"/>
  <c r="BB53" i="7"/>
  <c r="BB56" i="7"/>
  <c r="BB51" i="7"/>
  <c r="BB39" i="7"/>
  <c r="BB63" i="7"/>
  <c r="BB47" i="7"/>
  <c r="BB40" i="7"/>
  <c r="BB64" i="7"/>
  <c r="BB58" i="7"/>
  <c r="BB65" i="7"/>
  <c r="BB49" i="7"/>
  <c r="BB44" i="7"/>
  <c r="BB38" i="7"/>
  <c r="BB37" i="7"/>
  <c r="BB36" i="7"/>
  <c r="BB32" i="7"/>
  <c r="BB48" i="7"/>
  <c r="BB43" i="7"/>
  <c r="BB59" i="7"/>
  <c r="BB50" i="7"/>
  <c r="BB26" i="7"/>
  <c r="BB41" i="7"/>
  <c r="BB33" i="7"/>
  <c r="BB54" i="7"/>
  <c r="BB45" i="7"/>
  <c r="BB35" i="7"/>
  <c r="BB31" i="7"/>
  <c r="BB19" i="7"/>
  <c r="BB28" i="7"/>
  <c r="BB25" i="7"/>
  <c r="BB20" i="7"/>
  <c r="BB55" i="7"/>
  <c r="BB18" i="7"/>
  <c r="BB46" i="7"/>
  <c r="BB12" i="7"/>
  <c r="BB30" i="7"/>
  <c r="BB27" i="7"/>
  <c r="BB22" i="7"/>
  <c r="BB13" i="7"/>
  <c r="BB62" i="7"/>
  <c r="BB21" i="7"/>
  <c r="BB15" i="7"/>
  <c r="BB14" i="7"/>
  <c r="BB57" i="7"/>
  <c r="BB42" i="7"/>
  <c r="BB34" i="7"/>
  <c r="BB24" i="7"/>
  <c r="BB23" i="7"/>
  <c r="BB17" i="7"/>
  <c r="BB29" i="7"/>
  <c r="BB16" i="7"/>
  <c r="BB11" i="7"/>
  <c r="BC9" i="7"/>
  <c r="BB10" i="7"/>
  <c r="H55" i="1"/>
  <c r="BC61" i="7" l="1"/>
  <c r="BC62" i="7"/>
  <c r="BC54" i="7"/>
  <c r="BC53" i="7"/>
  <c r="BC65" i="7"/>
  <c r="BC60" i="7"/>
  <c r="BC58" i="7"/>
  <c r="BC57" i="7"/>
  <c r="BC56" i="7"/>
  <c r="BC55" i="7"/>
  <c r="BC63" i="7"/>
  <c r="BC47" i="7"/>
  <c r="BC40" i="7"/>
  <c r="BC48" i="7"/>
  <c r="BC41" i="7"/>
  <c r="BC52" i="7"/>
  <c r="BC66" i="7"/>
  <c r="BC43" i="7"/>
  <c r="BC33" i="7"/>
  <c r="BC42" i="7"/>
  <c r="BC34" i="7"/>
  <c r="BC27" i="7"/>
  <c r="BC59" i="7"/>
  <c r="BC35" i="7"/>
  <c r="BC32" i="7"/>
  <c r="BC38" i="7"/>
  <c r="BC36" i="7"/>
  <c r="BC51" i="7"/>
  <c r="BC28" i="7"/>
  <c r="BC25" i="7"/>
  <c r="BC20" i="7"/>
  <c r="BC45" i="7"/>
  <c r="BC24" i="7"/>
  <c r="BC23" i="7"/>
  <c r="BC21" i="7"/>
  <c r="BC49" i="7"/>
  <c r="BC37" i="7"/>
  <c r="BC64" i="7"/>
  <c r="BC46" i="7"/>
  <c r="BC12" i="7"/>
  <c r="BC29" i="7"/>
  <c r="BC30" i="7"/>
  <c r="BC22" i="7"/>
  <c r="BC13" i="7"/>
  <c r="BC44" i="7"/>
  <c r="BC18" i="7"/>
  <c r="BC15" i="7"/>
  <c r="BC14" i="7"/>
  <c r="BC50" i="7"/>
  <c r="BC19" i="7"/>
  <c r="BC16" i="7"/>
  <c r="BC39" i="7"/>
  <c r="BC31" i="7"/>
  <c r="BC26" i="7"/>
  <c r="BC17" i="7"/>
  <c r="BC10" i="7"/>
  <c r="BD9" i="7"/>
  <c r="BC11" i="7"/>
  <c r="H54" i="1"/>
  <c r="H59" i="1"/>
  <c r="BD62" i="7" l="1"/>
  <c r="BD63" i="7"/>
  <c r="BD55" i="7"/>
  <c r="BD65" i="7"/>
  <c r="BD60" i="7"/>
  <c r="BD58" i="7"/>
  <c r="BD57" i="7"/>
  <c r="BD56" i="7"/>
  <c r="BD64" i="7"/>
  <c r="BD54" i="7"/>
  <c r="BD61" i="7"/>
  <c r="BD48" i="7"/>
  <c r="BD41" i="7"/>
  <c r="BD49" i="7"/>
  <c r="BD42" i="7"/>
  <c r="BD35" i="7"/>
  <c r="BD51" i="7"/>
  <c r="BD52" i="7"/>
  <c r="BD34" i="7"/>
  <c r="BD59" i="7"/>
  <c r="BD53" i="7"/>
  <c r="BD40" i="7"/>
  <c r="BD33" i="7"/>
  <c r="BD32" i="7"/>
  <c r="BD39" i="7"/>
  <c r="BD37" i="7"/>
  <c r="BD31" i="7"/>
  <c r="BD50" i="7"/>
  <c r="BD47" i="7"/>
  <c r="BD45" i="7"/>
  <c r="BD24" i="7"/>
  <c r="BD23" i="7"/>
  <c r="BD21" i="7"/>
  <c r="BD36" i="7"/>
  <c r="BD22" i="7"/>
  <c r="BD66" i="7"/>
  <c r="BD43" i="7"/>
  <c r="BD30" i="7"/>
  <c r="BD13" i="7"/>
  <c r="BD44" i="7"/>
  <c r="BD17" i="7"/>
  <c r="BD27" i="7"/>
  <c r="BD18" i="7"/>
  <c r="BD15" i="7"/>
  <c r="BD14" i="7"/>
  <c r="BD29" i="7"/>
  <c r="BD25" i="7"/>
  <c r="BD12" i="7"/>
  <c r="BD20" i="7"/>
  <c r="BD16" i="7"/>
  <c r="BD26" i="7"/>
  <c r="BD19" i="7"/>
  <c r="BD46" i="7"/>
  <c r="BD38" i="7"/>
  <c r="BD28" i="7"/>
  <c r="BD10" i="7"/>
  <c r="BD11" i="7"/>
  <c r="BE9" i="7"/>
  <c r="BE63" i="7" l="1"/>
  <c r="BE64" i="7"/>
  <c r="BE56" i="7"/>
  <c r="BE55" i="7"/>
  <c r="BE54" i="7"/>
  <c r="BE66" i="7"/>
  <c r="BE49" i="7"/>
  <c r="BE42" i="7"/>
  <c r="BE59" i="7"/>
  <c r="BE50" i="7"/>
  <c r="BE43" i="7"/>
  <c r="BE61" i="7"/>
  <c r="BE48" i="7"/>
  <c r="BE47" i="7"/>
  <c r="BE41" i="7"/>
  <c r="BE39" i="7"/>
  <c r="BE37" i="7"/>
  <c r="BE35" i="7"/>
  <c r="BE31" i="7"/>
  <c r="BE30" i="7"/>
  <c r="BE57" i="7"/>
  <c r="BE53" i="7"/>
  <c r="BE36" i="7"/>
  <c r="BE22" i="7"/>
  <c r="BE14" i="7"/>
  <c r="BE58" i="7"/>
  <c r="BE32" i="7"/>
  <c r="BE65" i="7"/>
  <c r="BE46" i="7"/>
  <c r="BE38" i="7"/>
  <c r="BE33" i="7"/>
  <c r="BE27" i="7"/>
  <c r="BE18" i="7"/>
  <c r="BE15" i="7"/>
  <c r="BE23" i="7"/>
  <c r="BE20" i="7"/>
  <c r="BE16" i="7"/>
  <c r="BE40" i="7"/>
  <c r="BE29" i="7"/>
  <c r="BE25" i="7"/>
  <c r="BE34" i="7"/>
  <c r="BE62" i="7"/>
  <c r="BE44" i="7"/>
  <c r="BE21" i="7"/>
  <c r="BE17" i="7"/>
  <c r="BE52" i="7"/>
  <c r="BE51" i="7"/>
  <c r="BE45" i="7"/>
  <c r="BE60" i="7"/>
  <c r="BE19" i="7"/>
  <c r="BE26" i="7"/>
  <c r="BE24" i="7"/>
  <c r="BE13" i="7"/>
  <c r="BE28" i="7"/>
  <c r="BE12" i="7"/>
  <c r="H45" i="1"/>
  <c r="H46" i="1" s="1"/>
  <c r="BE10" i="7"/>
  <c r="BE11" i="7"/>
  <c r="BF9" i="7"/>
  <c r="BF64" i="7" l="1"/>
  <c r="BF65" i="7"/>
  <c r="BF57" i="7"/>
  <c r="BF66" i="7"/>
  <c r="BF59" i="7"/>
  <c r="BF50" i="7"/>
  <c r="BF43" i="7"/>
  <c r="BF60" i="7"/>
  <c r="BF54" i="7"/>
  <c r="BF53" i="7"/>
  <c r="BF44" i="7"/>
  <c r="BF36" i="7"/>
  <c r="BF47" i="7"/>
  <c r="BF42" i="7"/>
  <c r="BF28" i="7"/>
  <c r="BF51" i="7"/>
  <c r="BF46" i="7"/>
  <c r="BF41" i="7"/>
  <c r="BF61" i="7"/>
  <c r="BF52" i="7"/>
  <c r="BF30" i="7"/>
  <c r="BF29" i="7"/>
  <c r="BF58" i="7"/>
  <c r="BF56" i="7"/>
  <c r="BF55" i="7"/>
  <c r="BF49" i="7"/>
  <c r="BF40" i="7"/>
  <c r="BF32" i="7"/>
  <c r="BF15" i="7"/>
  <c r="BF38" i="7"/>
  <c r="BF37" i="7"/>
  <c r="BF16" i="7"/>
  <c r="BF62" i="7"/>
  <c r="BF39" i="7"/>
  <c r="BF25" i="7"/>
  <c r="BF22" i="7"/>
  <c r="BF14" i="7"/>
  <c r="BF26" i="7"/>
  <c r="BF45" i="7"/>
  <c r="BF21" i="7"/>
  <c r="BF17" i="7"/>
  <c r="BF34" i="7"/>
  <c r="BF35" i="7"/>
  <c r="BF23" i="7"/>
  <c r="BF20" i="7"/>
  <c r="BF63" i="7"/>
  <c r="BF48" i="7"/>
  <c r="BF18" i="7"/>
  <c r="BF24" i="7"/>
  <c r="BF13" i="7"/>
  <c r="BF31" i="7"/>
  <c r="BF33" i="7"/>
  <c r="BF12" i="7"/>
  <c r="BF27" i="7"/>
  <c r="BF19" i="7"/>
  <c r="BF11" i="7"/>
  <c r="BG9" i="7"/>
  <c r="BF10" i="7"/>
  <c r="H60" i="1"/>
  <c r="H61" i="1"/>
  <c r="H62" i="1"/>
  <c r="BG65" i="7" l="1"/>
  <c r="BG66" i="7"/>
  <c r="BG58" i="7"/>
  <c r="BG64" i="7"/>
  <c r="BG59" i="7"/>
  <c r="BG63" i="7"/>
  <c r="BG51" i="7"/>
  <c r="BG60" i="7"/>
  <c r="BG54" i="7"/>
  <c r="BG53" i="7"/>
  <c r="BG50" i="7"/>
  <c r="BG44" i="7"/>
  <c r="BG62" i="7"/>
  <c r="BG57" i="7"/>
  <c r="BG45" i="7"/>
  <c r="BG37" i="7"/>
  <c r="BG56" i="7"/>
  <c r="BG46" i="7"/>
  <c r="BG41" i="7"/>
  <c r="BG29" i="7"/>
  <c r="BG55" i="7"/>
  <c r="BG40" i="7"/>
  <c r="BG28" i="7"/>
  <c r="BG23" i="7"/>
  <c r="BG52" i="7"/>
  <c r="BG42" i="7"/>
  <c r="BG61" i="7"/>
  <c r="BG39" i="7"/>
  <c r="BG35" i="7"/>
  <c r="BG38" i="7"/>
  <c r="BG16" i="7"/>
  <c r="BG49" i="7"/>
  <c r="BG17" i="7"/>
  <c r="BG21" i="7"/>
  <c r="BG20" i="7"/>
  <c r="BG47" i="7"/>
  <c r="BG34" i="7"/>
  <c r="BG26" i="7"/>
  <c r="BG36" i="7"/>
  <c r="BG19" i="7"/>
  <c r="BG48" i="7"/>
  <c r="BG24" i="7"/>
  <c r="BG13" i="7"/>
  <c r="BG43" i="7"/>
  <c r="BG33" i="7"/>
  <c r="BG15" i="7"/>
  <c r="BG22" i="7"/>
  <c r="BG31" i="7"/>
  <c r="BG30" i="7"/>
  <c r="BG14" i="7"/>
  <c r="BG32" i="7"/>
  <c r="BG27" i="7"/>
  <c r="BG25" i="7"/>
  <c r="BG18" i="7"/>
  <c r="BG12" i="7"/>
  <c r="BG10" i="7"/>
  <c r="BG11" i="7"/>
  <c r="BH9" i="7"/>
  <c r="H53" i="1"/>
  <c r="BH66" i="7" l="1"/>
  <c r="BH59" i="7"/>
  <c r="BH63" i="7"/>
  <c r="BH51" i="7"/>
  <c r="BH62" i="7"/>
  <c r="BH65" i="7"/>
  <c r="BH57" i="7"/>
  <c r="BH45" i="7"/>
  <c r="BH52" i="7"/>
  <c r="BH46" i="7"/>
  <c r="BH38" i="7"/>
  <c r="BH55" i="7"/>
  <c r="BH40" i="7"/>
  <c r="BH30" i="7"/>
  <c r="BH64" i="7"/>
  <c r="BH58" i="7"/>
  <c r="BH56" i="7"/>
  <c r="BH54" i="7"/>
  <c r="BH60" i="7"/>
  <c r="BH42" i="7"/>
  <c r="BH24" i="7"/>
  <c r="BH43" i="7"/>
  <c r="BH53" i="7"/>
  <c r="BH37" i="7"/>
  <c r="BH49" i="7"/>
  <c r="BH41" i="7"/>
  <c r="BH17" i="7"/>
  <c r="BH39" i="7"/>
  <c r="BH18" i="7"/>
  <c r="BH44" i="7"/>
  <c r="BH34" i="7"/>
  <c r="BH33" i="7"/>
  <c r="BH29" i="7"/>
  <c r="BH20" i="7"/>
  <c r="BH61" i="7"/>
  <c r="BH35" i="7"/>
  <c r="BH26" i="7"/>
  <c r="BH23" i="7"/>
  <c r="BH12" i="7"/>
  <c r="BH47" i="7"/>
  <c r="BH36" i="7"/>
  <c r="BH19" i="7"/>
  <c r="BH16" i="7"/>
  <c r="BH50" i="7"/>
  <c r="BH48" i="7"/>
  <c r="BH22" i="7"/>
  <c r="BH15" i="7"/>
  <c r="BH27" i="7"/>
  <c r="BH25" i="7"/>
  <c r="BH21" i="7"/>
  <c r="BH31" i="7"/>
  <c r="BH13" i="7"/>
  <c r="BH14" i="7"/>
  <c r="BH32" i="7"/>
  <c r="BH28" i="7"/>
  <c r="H65" i="1"/>
  <c r="BH10" i="7"/>
  <c r="BH11" i="7"/>
  <c r="BI9" i="7"/>
  <c r="BI59" i="7" l="1"/>
  <c r="BI60" i="7"/>
  <c r="BI62" i="7"/>
  <c r="BI61" i="7"/>
  <c r="BI52" i="7"/>
  <c r="BI64" i="7"/>
  <c r="BI46" i="7"/>
  <c r="BI55" i="7"/>
  <c r="BI39" i="7"/>
  <c r="BI63" i="7"/>
  <c r="BI54" i="7"/>
  <c r="BI53" i="7"/>
  <c r="BI50" i="7"/>
  <c r="BI58" i="7"/>
  <c r="BI56" i="7"/>
  <c r="BI51" i="7"/>
  <c r="BI31" i="7"/>
  <c r="BI57" i="7"/>
  <c r="BI35" i="7"/>
  <c r="BI66" i="7"/>
  <c r="BI65" i="7"/>
  <c r="BI43" i="7"/>
  <c r="BI25" i="7"/>
  <c r="BI47" i="7"/>
  <c r="BI45" i="7"/>
  <c r="BI44" i="7"/>
  <c r="BI38" i="7"/>
  <c r="BI36" i="7"/>
  <c r="BI41" i="7"/>
  <c r="BI37" i="7"/>
  <c r="BI18" i="7"/>
  <c r="BI34" i="7"/>
  <c r="BI33" i="7"/>
  <c r="BI27" i="7"/>
  <c r="BI26" i="7"/>
  <c r="BI19" i="7"/>
  <c r="BI48" i="7"/>
  <c r="BI42" i="7"/>
  <c r="BI29" i="7"/>
  <c r="BI40" i="7"/>
  <c r="BI23" i="7"/>
  <c r="BI17" i="7"/>
  <c r="BI12" i="7"/>
  <c r="BI32" i="7"/>
  <c r="BI49" i="7"/>
  <c r="BI16" i="7"/>
  <c r="BI24" i="7"/>
  <c r="BI13" i="7"/>
  <c r="BI30" i="7"/>
  <c r="BI20" i="7"/>
  <c r="BI15" i="7"/>
  <c r="BI14" i="7"/>
  <c r="BI28" i="7"/>
  <c r="BI22" i="7"/>
  <c r="BI21" i="7"/>
  <c r="BI10" i="7"/>
  <c r="BI11" i="7"/>
  <c r="BJ9" i="7"/>
  <c r="H66" i="1"/>
  <c r="BJ60" i="7" l="1"/>
  <c r="BJ61" i="7"/>
  <c r="BJ66" i="7"/>
  <c r="BJ52" i="7"/>
  <c r="BJ53" i="7"/>
  <c r="BJ63" i="7"/>
  <c r="BJ62" i="7"/>
  <c r="BJ59" i="7"/>
  <c r="BJ55" i="7"/>
  <c r="BJ39" i="7"/>
  <c r="BJ65" i="7"/>
  <c r="BJ58" i="7"/>
  <c r="BJ47" i="7"/>
  <c r="BJ40" i="7"/>
  <c r="BJ57" i="7"/>
  <c r="BJ64" i="7"/>
  <c r="BJ54" i="7"/>
  <c r="BJ35" i="7"/>
  <c r="BJ32" i="7"/>
  <c r="BJ45" i="7"/>
  <c r="BJ38" i="7"/>
  <c r="BJ37" i="7"/>
  <c r="BJ36" i="7"/>
  <c r="BJ33" i="7"/>
  <c r="BJ44" i="7"/>
  <c r="BJ26" i="7"/>
  <c r="BJ51" i="7"/>
  <c r="BJ48" i="7"/>
  <c r="BJ46" i="7"/>
  <c r="BJ34" i="7"/>
  <c r="BJ42" i="7"/>
  <c r="BJ27" i="7"/>
  <c r="BJ19" i="7"/>
  <c r="BJ29" i="7"/>
  <c r="BJ20" i="7"/>
  <c r="BJ30" i="7"/>
  <c r="BJ49" i="7"/>
  <c r="BJ16" i="7"/>
  <c r="BJ50" i="7"/>
  <c r="BJ41" i="7"/>
  <c r="BJ12" i="7"/>
  <c r="BJ24" i="7"/>
  <c r="BJ13" i="7"/>
  <c r="BJ31" i="7"/>
  <c r="BJ28" i="7"/>
  <c r="BJ56" i="7"/>
  <c r="BJ15" i="7"/>
  <c r="BJ14" i="7"/>
  <c r="BJ21" i="7"/>
  <c r="BJ23" i="7"/>
  <c r="BJ43" i="7"/>
  <c r="BJ25" i="7"/>
  <c r="BJ22" i="7"/>
  <c r="BJ18" i="7"/>
  <c r="BJ17" i="7"/>
  <c r="H67" i="1"/>
  <c r="H68" i="1" s="1"/>
  <c r="J4" i="1"/>
  <c r="BJ11" i="7"/>
  <c r="BK9" i="7"/>
  <c r="BJ10" i="7"/>
  <c r="BK61" i="7" l="1"/>
  <c r="BK62" i="7"/>
  <c r="BK54" i="7"/>
  <c r="BK53" i="7"/>
  <c r="BK66" i="7"/>
  <c r="BK65" i="7"/>
  <c r="BK58" i="7"/>
  <c r="BK52" i="7"/>
  <c r="BK47" i="7"/>
  <c r="BK40" i="7"/>
  <c r="BK51" i="7"/>
  <c r="BK48" i="7"/>
  <c r="BK41" i="7"/>
  <c r="BK60" i="7"/>
  <c r="BK57" i="7"/>
  <c r="BK45" i="7"/>
  <c r="BK38" i="7"/>
  <c r="BK37" i="7"/>
  <c r="BK36" i="7"/>
  <c r="BK33" i="7"/>
  <c r="BK63" i="7"/>
  <c r="BK49" i="7"/>
  <c r="BK44" i="7"/>
  <c r="BK39" i="7"/>
  <c r="BK34" i="7"/>
  <c r="BK56" i="7"/>
  <c r="BK46" i="7"/>
  <c r="BK27" i="7"/>
  <c r="BK43" i="7"/>
  <c r="BK29" i="7"/>
  <c r="BK26" i="7"/>
  <c r="BK20" i="7"/>
  <c r="BK55" i="7"/>
  <c r="BK42" i="7"/>
  <c r="BK30" i="7"/>
  <c r="BK25" i="7"/>
  <c r="BK21" i="7"/>
  <c r="BK64" i="7"/>
  <c r="BK50" i="7"/>
  <c r="BK31" i="7"/>
  <c r="BK28" i="7"/>
  <c r="BK59" i="7"/>
  <c r="BK35" i="7"/>
  <c r="BK12" i="7"/>
  <c r="BK32" i="7"/>
  <c r="BK24" i="7"/>
  <c r="BK19" i="7"/>
  <c r="BK13" i="7"/>
  <c r="BK15" i="7"/>
  <c r="BK14" i="7"/>
  <c r="BK22" i="7"/>
  <c r="BK23" i="7"/>
  <c r="BK16" i="7"/>
  <c r="BK17" i="7"/>
  <c r="BK18" i="7"/>
  <c r="G85" i="1"/>
  <c r="O8" i="1" s="1"/>
  <c r="G73" i="1"/>
  <c r="O5" i="1" s="1"/>
  <c r="G76" i="1"/>
  <c r="O6" i="1" s="1"/>
  <c r="G79" i="1"/>
  <c r="O7" i="1" s="1"/>
  <c r="G93" i="1"/>
  <c r="O9" i="1" s="1"/>
  <c r="G98" i="1"/>
  <c r="O10" i="1" s="1"/>
  <c r="H70" i="1"/>
  <c r="BK10" i="7"/>
  <c r="BL9" i="7"/>
  <c r="BK11" i="7"/>
  <c r="BL62" i="7" l="1"/>
  <c r="BL63" i="7"/>
  <c r="BL55" i="7"/>
  <c r="BL61" i="7"/>
  <c r="BL58" i="7"/>
  <c r="BL57" i="7"/>
  <c r="BL56" i="7"/>
  <c r="BL51" i="7"/>
  <c r="BL48" i="7"/>
  <c r="BL41" i="7"/>
  <c r="BL66" i="7"/>
  <c r="BL64" i="7"/>
  <c r="BL49" i="7"/>
  <c r="BL42" i="7"/>
  <c r="BL35" i="7"/>
  <c r="BL59" i="7"/>
  <c r="BL44" i="7"/>
  <c r="BL39" i="7"/>
  <c r="BL34" i="7"/>
  <c r="BL53" i="7"/>
  <c r="BL50" i="7"/>
  <c r="BL43" i="7"/>
  <c r="BL52" i="7"/>
  <c r="BL47" i="7"/>
  <c r="BL45" i="7"/>
  <c r="BL38" i="7"/>
  <c r="BL36" i="7"/>
  <c r="BL60" i="7"/>
  <c r="BL32" i="7"/>
  <c r="BL65" i="7"/>
  <c r="BL33" i="7"/>
  <c r="BL30" i="7"/>
  <c r="BL25" i="7"/>
  <c r="BL21" i="7"/>
  <c r="BL46" i="7"/>
  <c r="BL31" i="7"/>
  <c r="BL28" i="7"/>
  <c r="BL24" i="7"/>
  <c r="BL23" i="7"/>
  <c r="BL22" i="7"/>
  <c r="BL26" i="7"/>
  <c r="BL19" i="7"/>
  <c r="BL13" i="7"/>
  <c r="BL15" i="7"/>
  <c r="BL14" i="7"/>
  <c r="BL18" i="7"/>
  <c r="BL54" i="7"/>
  <c r="BL20" i="7"/>
  <c r="BL16" i="7"/>
  <c r="BL17" i="7"/>
  <c r="BL40" i="7"/>
  <c r="BL37" i="7"/>
  <c r="BL27" i="7"/>
  <c r="BL12" i="7"/>
  <c r="BL29" i="7"/>
  <c r="BL10" i="7"/>
  <c r="BL11" i="7"/>
  <c r="BM9" i="7"/>
  <c r="BM63" i="7" l="1"/>
  <c r="BM64" i="7"/>
  <c r="BM56" i="7"/>
  <c r="BM58" i="7"/>
  <c r="BM57" i="7"/>
  <c r="BM65" i="7"/>
  <c r="BM60" i="7"/>
  <c r="BM55" i="7"/>
  <c r="BM54" i="7"/>
  <c r="BM62" i="7"/>
  <c r="BM66" i="7"/>
  <c r="BM49" i="7"/>
  <c r="BM42" i="7"/>
  <c r="BM43" i="7"/>
  <c r="BM52" i="7"/>
  <c r="BM53" i="7"/>
  <c r="BM50" i="7"/>
  <c r="BM51" i="7"/>
  <c r="BM48" i="7"/>
  <c r="BM34" i="7"/>
  <c r="BM32" i="7"/>
  <c r="BM33" i="7"/>
  <c r="BM31" i="7"/>
  <c r="BM59" i="7"/>
  <c r="BM46" i="7"/>
  <c r="BM39" i="7"/>
  <c r="BM28" i="7"/>
  <c r="BM24" i="7"/>
  <c r="BM23" i="7"/>
  <c r="BM22" i="7"/>
  <c r="BM14" i="7"/>
  <c r="BM44" i="7"/>
  <c r="BM40" i="7"/>
  <c r="BM61" i="7"/>
  <c r="BM45" i="7"/>
  <c r="BM37" i="7"/>
  <c r="BM27" i="7"/>
  <c r="BM47" i="7"/>
  <c r="BM36" i="7"/>
  <c r="BM15" i="7"/>
  <c r="BM41" i="7"/>
  <c r="BM18" i="7"/>
  <c r="BM30" i="7"/>
  <c r="BM21" i="7"/>
  <c r="BM25" i="7"/>
  <c r="BM12" i="7"/>
  <c r="BM38" i="7"/>
  <c r="BM26" i="7"/>
  <c r="BM17" i="7"/>
  <c r="BM35" i="7"/>
  <c r="BM29" i="7"/>
  <c r="BM19" i="7"/>
  <c r="BM13" i="7"/>
  <c r="BM20" i="7"/>
  <c r="BM16" i="7"/>
  <c r="BM10" i="7"/>
  <c r="BM11" i="7"/>
  <c r="BN9" i="7"/>
  <c r="BN64" i="7" l="1"/>
  <c r="BN65" i="7"/>
  <c r="BN57" i="7"/>
  <c r="BN60" i="7"/>
  <c r="BN56" i="7"/>
  <c r="BN55" i="7"/>
  <c r="BN54" i="7"/>
  <c r="BN50" i="7"/>
  <c r="BN61" i="7"/>
  <c r="BN43" i="7"/>
  <c r="BN44" i="7"/>
  <c r="BN36" i="7"/>
  <c r="BN51" i="7"/>
  <c r="BN63" i="7"/>
  <c r="BN49" i="7"/>
  <c r="BN28" i="7"/>
  <c r="BN59" i="7"/>
  <c r="BN48" i="7"/>
  <c r="BN33" i="7"/>
  <c r="BN31" i="7"/>
  <c r="BN22" i="7"/>
  <c r="BN62" i="7"/>
  <c r="BN30" i="7"/>
  <c r="BN47" i="7"/>
  <c r="BN45" i="7"/>
  <c r="BN38" i="7"/>
  <c r="BN58" i="7"/>
  <c r="BN46" i="7"/>
  <c r="BN42" i="7"/>
  <c r="BN34" i="7"/>
  <c r="BN15" i="7"/>
  <c r="BN40" i="7"/>
  <c r="BN16" i="7"/>
  <c r="BN66" i="7"/>
  <c r="BN24" i="7"/>
  <c r="BN41" i="7"/>
  <c r="BN18" i="7"/>
  <c r="BN14" i="7"/>
  <c r="BN17" i="7"/>
  <c r="BN37" i="7"/>
  <c r="BN32" i="7"/>
  <c r="BN27" i="7"/>
  <c r="BN25" i="7"/>
  <c r="BN21" i="7"/>
  <c r="BN52" i="7"/>
  <c r="BN53" i="7"/>
  <c r="BN39" i="7"/>
  <c r="BN26" i="7"/>
  <c r="BN12" i="7"/>
  <c r="BN35" i="7"/>
  <c r="BN23" i="7"/>
  <c r="BN29" i="7"/>
  <c r="BN19" i="7"/>
  <c r="BN13" i="7"/>
  <c r="BN20" i="7"/>
  <c r="BN11" i="7"/>
  <c r="BO9" i="7"/>
  <c r="BN10" i="7"/>
  <c r="BO65" i="7" l="1"/>
  <c r="BO66" i="7"/>
  <c r="BO58" i="7"/>
  <c r="BO51" i="7"/>
  <c r="BO64" i="7"/>
  <c r="BO44" i="7"/>
  <c r="BO61" i="7"/>
  <c r="BO56" i="7"/>
  <c r="BO50" i="7"/>
  <c r="BO45" i="7"/>
  <c r="BO37" i="7"/>
  <c r="BO62" i="7"/>
  <c r="BO55" i="7"/>
  <c r="BO59" i="7"/>
  <c r="BO48" i="7"/>
  <c r="BO43" i="7"/>
  <c r="BO29" i="7"/>
  <c r="BO47" i="7"/>
  <c r="BO42" i="7"/>
  <c r="BO54" i="7"/>
  <c r="BO53" i="7"/>
  <c r="BO60" i="7"/>
  <c r="BO30" i="7"/>
  <c r="BO23" i="7"/>
  <c r="BO49" i="7"/>
  <c r="BO40" i="7"/>
  <c r="BO35" i="7"/>
  <c r="BO63" i="7"/>
  <c r="BO52" i="7"/>
  <c r="BO36" i="7"/>
  <c r="BO31" i="7"/>
  <c r="BO16" i="7"/>
  <c r="BO17" i="7"/>
  <c r="BO32" i="7"/>
  <c r="BO41" i="7"/>
  <c r="BO18" i="7"/>
  <c r="BO15" i="7"/>
  <c r="BO14" i="7"/>
  <c r="BO38" i="7"/>
  <c r="BO34" i="7"/>
  <c r="BO27" i="7"/>
  <c r="BO28" i="7"/>
  <c r="BO25" i="7"/>
  <c r="BO22" i="7"/>
  <c r="BO21" i="7"/>
  <c r="BO20" i="7"/>
  <c r="BO57" i="7"/>
  <c r="BO46" i="7"/>
  <c r="BO12" i="7"/>
  <c r="BO33" i="7"/>
  <c r="BO19" i="7"/>
  <c r="BO13" i="7"/>
  <c r="BO39" i="7"/>
  <c r="BO26" i="7"/>
  <c r="BO24" i="7"/>
  <c r="BO10" i="7"/>
  <c r="BO11" i="7"/>
  <c r="BP9" i="7"/>
  <c r="BP66" i="7" l="1"/>
  <c r="BP59" i="7"/>
  <c r="BP65" i="7"/>
  <c r="BP51" i="7"/>
  <c r="BP64" i="7"/>
  <c r="BP60" i="7"/>
  <c r="BP61" i="7"/>
  <c r="BP56" i="7"/>
  <c r="BP50" i="7"/>
  <c r="BP45" i="7"/>
  <c r="BP53" i="7"/>
  <c r="BP46" i="7"/>
  <c r="BP38" i="7"/>
  <c r="BP58" i="7"/>
  <c r="BP47" i="7"/>
  <c r="BP42" i="7"/>
  <c r="BP30" i="7"/>
  <c r="BP62" i="7"/>
  <c r="BP52" i="7"/>
  <c r="BP41" i="7"/>
  <c r="BP63" i="7"/>
  <c r="BP57" i="7"/>
  <c r="BP55" i="7"/>
  <c r="BP49" i="7"/>
  <c r="BP40" i="7"/>
  <c r="BP35" i="7"/>
  <c r="BP29" i="7"/>
  <c r="BP28" i="7"/>
  <c r="BP24" i="7"/>
  <c r="BP39" i="7"/>
  <c r="BP37" i="7"/>
  <c r="BP44" i="7"/>
  <c r="BP17" i="7"/>
  <c r="BP48" i="7"/>
  <c r="BP32" i="7"/>
  <c r="BP18" i="7"/>
  <c r="BP36" i="7"/>
  <c r="BP34" i="7"/>
  <c r="BP27" i="7"/>
  <c r="BP54" i="7"/>
  <c r="BP33" i="7"/>
  <c r="BP25" i="7"/>
  <c r="BP22" i="7"/>
  <c r="BP21" i="7"/>
  <c r="BP31" i="7"/>
  <c r="BP20" i="7"/>
  <c r="BP12" i="7"/>
  <c r="BP43" i="7"/>
  <c r="BP19" i="7"/>
  <c r="BP14" i="7"/>
  <c r="BP23" i="7"/>
  <c r="BP13" i="7"/>
  <c r="BP26" i="7"/>
  <c r="BP16" i="7"/>
  <c r="BP15" i="7"/>
  <c r="BP10" i="7"/>
  <c r="BP11" i="7"/>
  <c r="BQ9" i="7"/>
  <c r="BQ59" i="7" l="1"/>
  <c r="BQ60" i="7"/>
  <c r="BQ64" i="7"/>
  <c r="BQ63" i="7"/>
  <c r="BQ52" i="7"/>
  <c r="BQ53" i="7"/>
  <c r="BQ46" i="7"/>
  <c r="BQ54" i="7"/>
  <c r="BQ39" i="7"/>
  <c r="BQ66" i="7"/>
  <c r="BQ65" i="7"/>
  <c r="BQ62" i="7"/>
  <c r="BQ41" i="7"/>
  <c r="BQ31" i="7"/>
  <c r="BQ40" i="7"/>
  <c r="BQ58" i="7"/>
  <c r="BQ51" i="7"/>
  <c r="BQ37" i="7"/>
  <c r="BQ25" i="7"/>
  <c r="BQ48" i="7"/>
  <c r="BQ55" i="7"/>
  <c r="BQ44" i="7"/>
  <c r="BQ32" i="7"/>
  <c r="BQ18" i="7"/>
  <c r="BQ50" i="7"/>
  <c r="BQ19" i="7"/>
  <c r="BQ61" i="7"/>
  <c r="BQ57" i="7"/>
  <c r="BQ35" i="7"/>
  <c r="BQ47" i="7"/>
  <c r="BQ22" i="7"/>
  <c r="BQ21" i="7"/>
  <c r="BQ12" i="7"/>
  <c r="BQ26" i="7"/>
  <c r="BQ13" i="7"/>
  <c r="BQ43" i="7"/>
  <c r="BQ42" i="7"/>
  <c r="BQ28" i="7"/>
  <c r="BQ20" i="7"/>
  <c r="BQ38" i="7"/>
  <c r="BQ33" i="7"/>
  <c r="BQ23" i="7"/>
  <c r="BQ16" i="7"/>
  <c r="BQ45" i="7"/>
  <c r="BQ17" i="7"/>
  <c r="BQ56" i="7"/>
  <c r="BQ14" i="7"/>
  <c r="BQ36" i="7"/>
  <c r="BQ34" i="7"/>
  <c r="BQ29" i="7"/>
  <c r="BQ27" i="7"/>
  <c r="BQ49" i="7"/>
  <c r="BQ24" i="7"/>
  <c r="BQ15" i="7"/>
  <c r="BQ30" i="7"/>
  <c r="BQ10" i="7"/>
  <c r="BQ11" i="7"/>
  <c r="BR9" i="7"/>
  <c r="BR60" i="7" l="1"/>
  <c r="BR61" i="7"/>
  <c r="BR66" i="7"/>
  <c r="BR63" i="7"/>
  <c r="BR52" i="7"/>
  <c r="BR62" i="7"/>
  <c r="BR59" i="7"/>
  <c r="BR53" i="7"/>
  <c r="BR65" i="7"/>
  <c r="BR54" i="7"/>
  <c r="BR39" i="7"/>
  <c r="BR57" i="7"/>
  <c r="BR47" i="7"/>
  <c r="BR40" i="7"/>
  <c r="BR56" i="7"/>
  <c r="BR50" i="7"/>
  <c r="BR32" i="7"/>
  <c r="BR46" i="7"/>
  <c r="BR35" i="7"/>
  <c r="BR33" i="7"/>
  <c r="BR64" i="7"/>
  <c r="BR26" i="7"/>
  <c r="BR41" i="7"/>
  <c r="BR49" i="7"/>
  <c r="BR48" i="7"/>
  <c r="BR19" i="7"/>
  <c r="BR27" i="7"/>
  <c r="BR20" i="7"/>
  <c r="BR43" i="7"/>
  <c r="BR36" i="7"/>
  <c r="BR28" i="7"/>
  <c r="BR25" i="7"/>
  <c r="BR42" i="7"/>
  <c r="BR45" i="7"/>
  <c r="BR44" i="7"/>
  <c r="BR37" i="7"/>
  <c r="BR31" i="7"/>
  <c r="BR17" i="7"/>
  <c r="BR12" i="7"/>
  <c r="BR38" i="7"/>
  <c r="BR23" i="7"/>
  <c r="BR16" i="7"/>
  <c r="BR13" i="7"/>
  <c r="BR30" i="7"/>
  <c r="BR29" i="7"/>
  <c r="BR55" i="7"/>
  <c r="BR51" i="7"/>
  <c r="BR58" i="7"/>
  <c r="BR24" i="7"/>
  <c r="BR34" i="7"/>
  <c r="BR21" i="7"/>
  <c r="BR22" i="7"/>
  <c r="BR15" i="7"/>
  <c r="BR14" i="7"/>
  <c r="BR18" i="7"/>
  <c r="BR11" i="7"/>
  <c r="BS9" i="7"/>
  <c r="BR10" i="7"/>
  <c r="BS61" i="7" l="1"/>
  <c r="BS62" i="7"/>
  <c r="BS54" i="7"/>
  <c r="BS59" i="7"/>
  <c r="BS53" i="7"/>
  <c r="BS66" i="7"/>
  <c r="BS64" i="7"/>
  <c r="BS57" i="7"/>
  <c r="BS47" i="7"/>
  <c r="BS40" i="7"/>
  <c r="BS63" i="7"/>
  <c r="BS48" i="7"/>
  <c r="BS41" i="7"/>
  <c r="BS52" i="7"/>
  <c r="BS46" i="7"/>
  <c r="BS35" i="7"/>
  <c r="BS33" i="7"/>
  <c r="BS38" i="7"/>
  <c r="BS37" i="7"/>
  <c r="BS36" i="7"/>
  <c r="BS34" i="7"/>
  <c r="BS39" i="7"/>
  <c r="BS27" i="7"/>
  <c r="BS50" i="7"/>
  <c r="BS42" i="7"/>
  <c r="BS51" i="7"/>
  <c r="BS20" i="7"/>
  <c r="BS65" i="7"/>
  <c r="BS43" i="7"/>
  <c r="BS26" i="7"/>
  <c r="BS21" i="7"/>
  <c r="BS60" i="7"/>
  <c r="BS45" i="7"/>
  <c r="BS29" i="7"/>
  <c r="BS44" i="7"/>
  <c r="BS31" i="7"/>
  <c r="BS17" i="7"/>
  <c r="BS12" i="7"/>
  <c r="BS55" i="7"/>
  <c r="BS32" i="7"/>
  <c r="BS23" i="7"/>
  <c r="BS16" i="7"/>
  <c r="BS13" i="7"/>
  <c r="BS19" i="7"/>
  <c r="BS30" i="7"/>
  <c r="BS56" i="7"/>
  <c r="BS58" i="7"/>
  <c r="BS49" i="7"/>
  <c r="BS25" i="7"/>
  <c r="BS24" i="7"/>
  <c r="BS28" i="7"/>
  <c r="BS18" i="7"/>
  <c r="BS14" i="7"/>
  <c r="BS22" i="7"/>
  <c r="BS15" i="7"/>
  <c r="BS10" i="7"/>
  <c r="BT9" i="7"/>
  <c r="BS11" i="7"/>
  <c r="BT62" i="7" l="1"/>
  <c r="BT63" i="7"/>
  <c r="BT55" i="7"/>
  <c r="BT66" i="7"/>
  <c r="BT48" i="7"/>
  <c r="BT41" i="7"/>
  <c r="BT52" i="7"/>
  <c r="BT49" i="7"/>
  <c r="BT42" i="7"/>
  <c r="BT35" i="7"/>
  <c r="BT64" i="7"/>
  <c r="BT61" i="7"/>
  <c r="BT40" i="7"/>
  <c r="BT38" i="7"/>
  <c r="BT37" i="7"/>
  <c r="BT36" i="7"/>
  <c r="BT34" i="7"/>
  <c r="BT45" i="7"/>
  <c r="BT50" i="7"/>
  <c r="BT43" i="7"/>
  <c r="BT60" i="7"/>
  <c r="BT65" i="7"/>
  <c r="BT27" i="7"/>
  <c r="BT26" i="7"/>
  <c r="BT21" i="7"/>
  <c r="BT57" i="7"/>
  <c r="BT29" i="7"/>
  <c r="BT25" i="7"/>
  <c r="BT54" i="7"/>
  <c r="BT32" i="7"/>
  <c r="BT23" i="7"/>
  <c r="BT20" i="7"/>
  <c r="BT16" i="7"/>
  <c r="BT13" i="7"/>
  <c r="BT56" i="7"/>
  <c r="BT51" i="7"/>
  <c r="BT24" i="7"/>
  <c r="BT15" i="7"/>
  <c r="BT14" i="7"/>
  <c r="BT30" i="7"/>
  <c r="BT33" i="7"/>
  <c r="BT19" i="7"/>
  <c r="BT39" i="7"/>
  <c r="BT58" i="7"/>
  <c r="BT53" i="7"/>
  <c r="BT46" i="7"/>
  <c r="BT59" i="7"/>
  <c r="BT31" i="7"/>
  <c r="BT17" i="7"/>
  <c r="BT12" i="7"/>
  <c r="BT18" i="7"/>
  <c r="BT44" i="7"/>
  <c r="BT28" i="7"/>
  <c r="BT47" i="7"/>
  <c r="BT22" i="7"/>
  <c r="BT10" i="7"/>
  <c r="BT11" i="7"/>
  <c r="BU9" i="7"/>
  <c r="BU63" i="7" l="1"/>
  <c r="BU64" i="7"/>
  <c r="BU56" i="7"/>
  <c r="BU62" i="7"/>
  <c r="BU61" i="7"/>
  <c r="BU58" i="7"/>
  <c r="BU57" i="7"/>
  <c r="BU52" i="7"/>
  <c r="BU49" i="7"/>
  <c r="BU42" i="7"/>
  <c r="BU60" i="7"/>
  <c r="BU59" i="7"/>
  <c r="BU55" i="7"/>
  <c r="BU51" i="7"/>
  <c r="BU43" i="7"/>
  <c r="BU54" i="7"/>
  <c r="BU53" i="7"/>
  <c r="BU45" i="7"/>
  <c r="BU44" i="7"/>
  <c r="BU39" i="7"/>
  <c r="BU41" i="7"/>
  <c r="BU32" i="7"/>
  <c r="BU37" i="7"/>
  <c r="BU35" i="7"/>
  <c r="BU50" i="7"/>
  <c r="BU40" i="7"/>
  <c r="BU29" i="7"/>
  <c r="BU25" i="7"/>
  <c r="BU14" i="7"/>
  <c r="BU36" i="7"/>
  <c r="BU24" i="7"/>
  <c r="BU23" i="7"/>
  <c r="BU22" i="7"/>
  <c r="BU66" i="7"/>
  <c r="BU47" i="7"/>
  <c r="BU30" i="7"/>
  <c r="BU28" i="7"/>
  <c r="BU15" i="7"/>
  <c r="BU38" i="7"/>
  <c r="BU33" i="7"/>
  <c r="BU19" i="7"/>
  <c r="BU46" i="7"/>
  <c r="BU65" i="7"/>
  <c r="BU26" i="7"/>
  <c r="BU48" i="7"/>
  <c r="BU34" i="7"/>
  <c r="BU21" i="7"/>
  <c r="BU13" i="7"/>
  <c r="BU16" i="7"/>
  <c r="BU18" i="7"/>
  <c r="BU27" i="7"/>
  <c r="BU20" i="7"/>
  <c r="BU31" i="7"/>
  <c r="BU17" i="7"/>
  <c r="BU12" i="7"/>
  <c r="BU10" i="7"/>
  <c r="BU11" i="7"/>
  <c r="BV9" i="7"/>
  <c r="BV64" i="7" l="1"/>
  <c r="BV65" i="7"/>
  <c r="BV57" i="7"/>
  <c r="BV61" i="7"/>
  <c r="BV58" i="7"/>
  <c r="BV56" i="7"/>
  <c r="BV55" i="7"/>
  <c r="BV54" i="7"/>
  <c r="BV50" i="7"/>
  <c r="BV66" i="7"/>
  <c r="BV63" i="7"/>
  <c r="BV60" i="7"/>
  <c r="BV59" i="7"/>
  <c r="BV51" i="7"/>
  <c r="BV43" i="7"/>
  <c r="BV44" i="7"/>
  <c r="BV36" i="7"/>
  <c r="BV39" i="7"/>
  <c r="BV28" i="7"/>
  <c r="BV62" i="7"/>
  <c r="BV42" i="7"/>
  <c r="BV32" i="7"/>
  <c r="BV22" i="7"/>
  <c r="BV46" i="7"/>
  <c r="BV38" i="7"/>
  <c r="BV34" i="7"/>
  <c r="BV31" i="7"/>
  <c r="BV40" i="7"/>
  <c r="BV24" i="7"/>
  <c r="BV23" i="7"/>
  <c r="BV15" i="7"/>
  <c r="BV47" i="7"/>
  <c r="BV45" i="7"/>
  <c r="BV35" i="7"/>
  <c r="BV30" i="7"/>
  <c r="BV16" i="7"/>
  <c r="BV33" i="7"/>
  <c r="BV37" i="7"/>
  <c r="BV19" i="7"/>
  <c r="BV53" i="7"/>
  <c r="BV52" i="7"/>
  <c r="BV48" i="7"/>
  <c r="BV18" i="7"/>
  <c r="BV26" i="7"/>
  <c r="BV29" i="7"/>
  <c r="BV14" i="7"/>
  <c r="BV49" i="7"/>
  <c r="BV41" i="7"/>
  <c r="BV27" i="7"/>
  <c r="BV25" i="7"/>
  <c r="BV13" i="7"/>
  <c r="BV20" i="7"/>
  <c r="BV17" i="7"/>
  <c r="BV12" i="7"/>
  <c r="BV21" i="7"/>
  <c r="BV11" i="7"/>
  <c r="BW9" i="7"/>
  <c r="BV10" i="7"/>
  <c r="BW65" i="7" l="1"/>
  <c r="BW66" i="7"/>
  <c r="BW58" i="7"/>
  <c r="BW57" i="7"/>
  <c r="BW56" i="7"/>
  <c r="BW55" i="7"/>
  <c r="BW54" i="7"/>
  <c r="BW60" i="7"/>
  <c r="BW51" i="7"/>
  <c r="BW62" i="7"/>
  <c r="BW63" i="7"/>
  <c r="BW44" i="7"/>
  <c r="BW45" i="7"/>
  <c r="BW37" i="7"/>
  <c r="BW52" i="7"/>
  <c r="BW29" i="7"/>
  <c r="BW61" i="7"/>
  <c r="BW49" i="7"/>
  <c r="BW59" i="7"/>
  <c r="BW46" i="7"/>
  <c r="BW43" i="7"/>
  <c r="BW38" i="7"/>
  <c r="BW34" i="7"/>
  <c r="BW31" i="7"/>
  <c r="BW23" i="7"/>
  <c r="BW47" i="7"/>
  <c r="BW36" i="7"/>
  <c r="BW33" i="7"/>
  <c r="BW30" i="7"/>
  <c r="BW50" i="7"/>
  <c r="BW41" i="7"/>
  <c r="BW39" i="7"/>
  <c r="BW35" i="7"/>
  <c r="BW22" i="7"/>
  <c r="BW16" i="7"/>
  <c r="BW64" i="7"/>
  <c r="BW28" i="7"/>
  <c r="BW17" i="7"/>
  <c r="BW26" i="7"/>
  <c r="BW15" i="7"/>
  <c r="BW14" i="7"/>
  <c r="BW53" i="7"/>
  <c r="BW48" i="7"/>
  <c r="BW42" i="7"/>
  <c r="BW24" i="7"/>
  <c r="BW18" i="7"/>
  <c r="BW40" i="7"/>
  <c r="BW27" i="7"/>
  <c r="BW25" i="7"/>
  <c r="BW13" i="7"/>
  <c r="BW19" i="7"/>
  <c r="BW20" i="7"/>
  <c r="BW32" i="7"/>
  <c r="BW12" i="7"/>
  <c r="BW21" i="7"/>
  <c r="BW10" i="7"/>
  <c r="BW11" i="7"/>
  <c r="BX9" i="7"/>
  <c r="BX66" i="7" l="1"/>
  <c r="BX59" i="7"/>
  <c r="BX60" i="7"/>
  <c r="BX51" i="7"/>
  <c r="BX61" i="7"/>
  <c r="BX55" i="7"/>
  <c r="BX45" i="7"/>
  <c r="BX58" i="7"/>
  <c r="BX50" i="7"/>
  <c r="BX46" i="7"/>
  <c r="BX38" i="7"/>
  <c r="BX57" i="7"/>
  <c r="BX49" i="7"/>
  <c r="BX44" i="7"/>
  <c r="BX30" i="7"/>
  <c r="BX65" i="7"/>
  <c r="BX48" i="7"/>
  <c r="BX43" i="7"/>
  <c r="BX62" i="7"/>
  <c r="BX52" i="7"/>
  <c r="BX47" i="7"/>
  <c r="BX36" i="7"/>
  <c r="BX33" i="7"/>
  <c r="BX24" i="7"/>
  <c r="BX64" i="7"/>
  <c r="BX56" i="7"/>
  <c r="BX53" i="7"/>
  <c r="BX42" i="7"/>
  <c r="BX28" i="7"/>
  <c r="BX17" i="7"/>
  <c r="BX54" i="7"/>
  <c r="BX18" i="7"/>
  <c r="BX63" i="7"/>
  <c r="BX41" i="7"/>
  <c r="BX37" i="7"/>
  <c r="BX34" i="7"/>
  <c r="BX31" i="7"/>
  <c r="BX15" i="7"/>
  <c r="BX14" i="7"/>
  <c r="BX39" i="7"/>
  <c r="BX27" i="7"/>
  <c r="BX29" i="7"/>
  <c r="BX21" i="7"/>
  <c r="BX12" i="7"/>
  <c r="BX40" i="7"/>
  <c r="BX35" i="7"/>
  <c r="BX20" i="7"/>
  <c r="BX16" i="7"/>
  <c r="BX26" i="7"/>
  <c r="BX23" i="7"/>
  <c r="BX19" i="7"/>
  <c r="BX22" i="7"/>
  <c r="BX32" i="7"/>
  <c r="BX25" i="7"/>
  <c r="BX13" i="7"/>
  <c r="BX10" i="7"/>
  <c r="BX11" i="7"/>
  <c r="BY9" i="7"/>
  <c r="BY59" i="7" l="1"/>
  <c r="BY60" i="7"/>
  <c r="BY65" i="7"/>
  <c r="BY52" i="7"/>
  <c r="BY58" i="7"/>
  <c r="BY50" i="7"/>
  <c r="BY46" i="7"/>
  <c r="BY62" i="7"/>
  <c r="BY39" i="7"/>
  <c r="BY63" i="7"/>
  <c r="BY61" i="7"/>
  <c r="BY48" i="7"/>
  <c r="BY43" i="7"/>
  <c r="BY31" i="7"/>
  <c r="BY56" i="7"/>
  <c r="BY53" i="7"/>
  <c r="BY51" i="7"/>
  <c r="BY47" i="7"/>
  <c r="BY42" i="7"/>
  <c r="BY64" i="7"/>
  <c r="BY30" i="7"/>
  <c r="BY29" i="7"/>
  <c r="BY28" i="7"/>
  <c r="BY25" i="7"/>
  <c r="BY55" i="7"/>
  <c r="BY54" i="7"/>
  <c r="BY45" i="7"/>
  <c r="BY44" i="7"/>
  <c r="BY57" i="7"/>
  <c r="BY36" i="7"/>
  <c r="BY18" i="7"/>
  <c r="BY66" i="7"/>
  <c r="BY41" i="7"/>
  <c r="BY37" i="7"/>
  <c r="BY34" i="7"/>
  <c r="BY33" i="7"/>
  <c r="BY19" i="7"/>
  <c r="BY49" i="7"/>
  <c r="BY38" i="7"/>
  <c r="BY24" i="7"/>
  <c r="BY12" i="7"/>
  <c r="BY22" i="7"/>
  <c r="BY20" i="7"/>
  <c r="BY40" i="7"/>
  <c r="BY27" i="7"/>
  <c r="BY21" i="7"/>
  <c r="BY13" i="7"/>
  <c r="BY35" i="7"/>
  <c r="BY23" i="7"/>
  <c r="BY17" i="7"/>
  <c r="BY14" i="7"/>
  <c r="BY32" i="7"/>
  <c r="BY16" i="7"/>
  <c r="BY15" i="7"/>
  <c r="BY26" i="7"/>
  <c r="BY10" i="7"/>
  <c r="BY11" i="7"/>
  <c r="BZ9" i="7"/>
  <c r="BZ60" i="7" l="1"/>
  <c r="BZ61" i="7"/>
  <c r="BZ66" i="7"/>
  <c r="BZ65" i="7"/>
  <c r="BZ52" i="7"/>
  <c r="BZ64" i="7"/>
  <c r="BZ53" i="7"/>
  <c r="BZ62" i="7"/>
  <c r="BZ39" i="7"/>
  <c r="BZ56" i="7"/>
  <c r="BZ47" i="7"/>
  <c r="BZ40" i="7"/>
  <c r="BZ59" i="7"/>
  <c r="BZ55" i="7"/>
  <c r="BZ51" i="7"/>
  <c r="BZ42" i="7"/>
  <c r="BZ32" i="7"/>
  <c r="BZ54" i="7"/>
  <c r="BZ41" i="7"/>
  <c r="BZ33" i="7"/>
  <c r="BZ45" i="7"/>
  <c r="BZ44" i="7"/>
  <c r="BZ26" i="7"/>
  <c r="BZ58" i="7"/>
  <c r="BZ57" i="7"/>
  <c r="BZ48" i="7"/>
  <c r="BZ35" i="7"/>
  <c r="BZ38" i="7"/>
  <c r="BZ36" i="7"/>
  <c r="BZ43" i="7"/>
  <c r="BZ37" i="7"/>
  <c r="BZ34" i="7"/>
  <c r="BZ30" i="7"/>
  <c r="BZ19" i="7"/>
  <c r="BZ63" i="7"/>
  <c r="BZ49" i="7"/>
  <c r="BZ31" i="7"/>
  <c r="BZ20" i="7"/>
  <c r="BZ29" i="7"/>
  <c r="BZ24" i="7"/>
  <c r="BZ46" i="7"/>
  <c r="BZ25" i="7"/>
  <c r="BZ27" i="7"/>
  <c r="BZ21" i="7"/>
  <c r="BZ18" i="7"/>
  <c r="BZ12" i="7"/>
  <c r="BZ50" i="7"/>
  <c r="BZ22" i="7"/>
  <c r="BZ13" i="7"/>
  <c r="BZ17" i="7"/>
  <c r="BZ16" i="7"/>
  <c r="BZ15" i="7"/>
  <c r="BZ28" i="7"/>
  <c r="BZ14" i="7"/>
  <c r="BZ23" i="7"/>
  <c r="BZ11" i="7"/>
  <c r="CA9" i="7"/>
  <c r="BZ10" i="7"/>
  <c r="CA61" i="7" l="1"/>
  <c r="CA62" i="7"/>
  <c r="CA54" i="7"/>
  <c r="CA64" i="7"/>
  <c r="CA53" i="7"/>
  <c r="CA63" i="7"/>
  <c r="CA56" i="7"/>
  <c r="CA47" i="7"/>
  <c r="CA40" i="7"/>
  <c r="CA65" i="7"/>
  <c r="CA48" i="7"/>
  <c r="CA41" i="7"/>
  <c r="CA34" i="7"/>
  <c r="CA58" i="7"/>
  <c r="CA50" i="7"/>
  <c r="CA51" i="7"/>
  <c r="CA33" i="7"/>
  <c r="CA60" i="7"/>
  <c r="CA57" i="7"/>
  <c r="CA55" i="7"/>
  <c r="CA35" i="7"/>
  <c r="CA27" i="7"/>
  <c r="CA66" i="7"/>
  <c r="CA49" i="7"/>
  <c r="CA37" i="7"/>
  <c r="CA46" i="7"/>
  <c r="CA43" i="7"/>
  <c r="CA45" i="7"/>
  <c r="CA31" i="7"/>
  <c r="CA20" i="7"/>
  <c r="CA38" i="7"/>
  <c r="CA21" i="7"/>
  <c r="CA52" i="7"/>
  <c r="CA32" i="7"/>
  <c r="CA30" i="7"/>
  <c r="CA18" i="7"/>
  <c r="CA12" i="7"/>
  <c r="CA42" i="7"/>
  <c r="CA22" i="7"/>
  <c r="CA13" i="7"/>
  <c r="CA16" i="7"/>
  <c r="CA39" i="7"/>
  <c r="CA25" i="7"/>
  <c r="CA17" i="7"/>
  <c r="CA59" i="7"/>
  <c r="CA28" i="7"/>
  <c r="CA19" i="7"/>
  <c r="CA36" i="7"/>
  <c r="CA24" i="7"/>
  <c r="CA14" i="7"/>
  <c r="CA44" i="7"/>
  <c r="CA15" i="7"/>
  <c r="CA29" i="7"/>
  <c r="CA26" i="7"/>
  <c r="CA23" i="7"/>
  <c r="CA10" i="7"/>
  <c r="CB9" i="7"/>
  <c r="CA11" i="7"/>
  <c r="CB62" i="7" l="1"/>
  <c r="CB63" i="7"/>
  <c r="CB55" i="7"/>
  <c r="CB59" i="7"/>
  <c r="CB65" i="7"/>
  <c r="CB60" i="7"/>
  <c r="CB48" i="7"/>
  <c r="CB41" i="7"/>
  <c r="CB53" i="7"/>
  <c r="CB49" i="7"/>
  <c r="CB42" i="7"/>
  <c r="CB35" i="7"/>
  <c r="CB57" i="7"/>
  <c r="CB56" i="7"/>
  <c r="CB54" i="7"/>
  <c r="CB47" i="7"/>
  <c r="CB66" i="7"/>
  <c r="CB58" i="7"/>
  <c r="CB50" i="7"/>
  <c r="CB46" i="7"/>
  <c r="CB38" i="7"/>
  <c r="CB37" i="7"/>
  <c r="CB36" i="7"/>
  <c r="CB34" i="7"/>
  <c r="CB45" i="7"/>
  <c r="CB44" i="7"/>
  <c r="CB64" i="7"/>
  <c r="CB33" i="7"/>
  <c r="CB21" i="7"/>
  <c r="CB61" i="7"/>
  <c r="CB52" i="7"/>
  <c r="CB32" i="7"/>
  <c r="CB27" i="7"/>
  <c r="CB26" i="7"/>
  <c r="CB39" i="7"/>
  <c r="CB22" i="7"/>
  <c r="CB13" i="7"/>
  <c r="CB43" i="7"/>
  <c r="CB40" i="7"/>
  <c r="CB28" i="7"/>
  <c r="CB23" i="7"/>
  <c r="CB25" i="7"/>
  <c r="CB17" i="7"/>
  <c r="CB51" i="7"/>
  <c r="CB20" i="7"/>
  <c r="CB16" i="7"/>
  <c r="CB18" i="7"/>
  <c r="CB15" i="7"/>
  <c r="CB24" i="7"/>
  <c r="CB14" i="7"/>
  <c r="CB29" i="7"/>
  <c r="CB31" i="7"/>
  <c r="CB30" i="7"/>
  <c r="CB19" i="7"/>
  <c r="CB12" i="7"/>
  <c r="CB10" i="7"/>
  <c r="CB11" i="7"/>
  <c r="CC9" i="7"/>
  <c r="CC63" i="7" l="1"/>
  <c r="CC64" i="7"/>
  <c r="CC56" i="7"/>
  <c r="CC59" i="7"/>
  <c r="CC65" i="7"/>
  <c r="CC53" i="7"/>
  <c r="CC49" i="7"/>
  <c r="CC42" i="7"/>
  <c r="CC66" i="7"/>
  <c r="CC57" i="7"/>
  <c r="CC54" i="7"/>
  <c r="CC43" i="7"/>
  <c r="CC60" i="7"/>
  <c r="CC58" i="7"/>
  <c r="CC55" i="7"/>
  <c r="CC50" i="7"/>
  <c r="CC46" i="7"/>
  <c r="CC41" i="7"/>
  <c r="CC38" i="7"/>
  <c r="CC37" i="7"/>
  <c r="CC36" i="7"/>
  <c r="CC35" i="7"/>
  <c r="CC34" i="7"/>
  <c r="CC40" i="7"/>
  <c r="CC61" i="7"/>
  <c r="CC51" i="7"/>
  <c r="CC48" i="7"/>
  <c r="CC52" i="7"/>
  <c r="CC47" i="7"/>
  <c r="CC32" i="7"/>
  <c r="CC27" i="7"/>
  <c r="CC26" i="7"/>
  <c r="CC14" i="7"/>
  <c r="CC62" i="7"/>
  <c r="CC39" i="7"/>
  <c r="CC25" i="7"/>
  <c r="CC29" i="7"/>
  <c r="CC45" i="7"/>
  <c r="CC33" i="7"/>
  <c r="CC21" i="7"/>
  <c r="CC17" i="7"/>
  <c r="CC19" i="7"/>
  <c r="CC31" i="7"/>
  <c r="CC20" i="7"/>
  <c r="CC16" i="7"/>
  <c r="CC28" i="7"/>
  <c r="CC23" i="7"/>
  <c r="CC15" i="7"/>
  <c r="CC44" i="7"/>
  <c r="CC30" i="7"/>
  <c r="CC24" i="7"/>
  <c r="CC22" i="7"/>
  <c r="CC12" i="7"/>
  <c r="CC13" i="7"/>
  <c r="CC18" i="7"/>
  <c r="CC10" i="7"/>
  <c r="CC11" i="7"/>
  <c r="CD9" i="7"/>
  <c r="CD64" i="7" l="1"/>
  <c r="CD65" i="7"/>
  <c r="CD57" i="7"/>
  <c r="CD63" i="7"/>
  <c r="CD66" i="7"/>
  <c r="CD62" i="7"/>
  <c r="CD58" i="7"/>
  <c r="CD50" i="7"/>
  <c r="CD54" i="7"/>
  <c r="CD43" i="7"/>
  <c r="CD61" i="7"/>
  <c r="CD52" i="7"/>
  <c r="CD44" i="7"/>
  <c r="CD36" i="7"/>
  <c r="CD56" i="7"/>
  <c r="CD60" i="7"/>
  <c r="CD53" i="7"/>
  <c r="CD40" i="7"/>
  <c r="CD28" i="7"/>
  <c r="CD45" i="7"/>
  <c r="CD55" i="7"/>
  <c r="CD49" i="7"/>
  <c r="CD37" i="7"/>
  <c r="CD35" i="7"/>
  <c r="CD22" i="7"/>
  <c r="CD39" i="7"/>
  <c r="CD32" i="7"/>
  <c r="CD47" i="7"/>
  <c r="CD41" i="7"/>
  <c r="CD38" i="7"/>
  <c r="CD25" i="7"/>
  <c r="CD15" i="7"/>
  <c r="CD29" i="7"/>
  <c r="CD24" i="7"/>
  <c r="CD23" i="7"/>
  <c r="CD16" i="7"/>
  <c r="CD42" i="7"/>
  <c r="CD27" i="7"/>
  <c r="CD20" i="7"/>
  <c r="CD51" i="7"/>
  <c r="CD48" i="7"/>
  <c r="CD46" i="7"/>
  <c r="CD19" i="7"/>
  <c r="CD31" i="7"/>
  <c r="CD14" i="7"/>
  <c r="CD34" i="7"/>
  <c r="CD59" i="7"/>
  <c r="CD12" i="7"/>
  <c r="CD30" i="7"/>
  <c r="CD17" i="7"/>
  <c r="CD33" i="7"/>
  <c r="CD26" i="7"/>
  <c r="CD18" i="7"/>
  <c r="CD21" i="7"/>
  <c r="CD13" i="7"/>
  <c r="CD11" i="7"/>
  <c r="CE9" i="7"/>
  <c r="CD10" i="7"/>
  <c r="CE65" i="7" l="1"/>
  <c r="CE66" i="7"/>
  <c r="CE58" i="7"/>
  <c r="CE62" i="7"/>
  <c r="CE50" i="7"/>
  <c r="CE61" i="7"/>
  <c r="CE57" i="7"/>
  <c r="CE56" i="7"/>
  <c r="CE55" i="7"/>
  <c r="CE54" i="7"/>
  <c r="CE51" i="7"/>
  <c r="CE64" i="7"/>
  <c r="CE52" i="7"/>
  <c r="CE44" i="7"/>
  <c r="CE45" i="7"/>
  <c r="CE37" i="7"/>
  <c r="CE53" i="7"/>
  <c r="CE29" i="7"/>
  <c r="CE39" i="7"/>
  <c r="CE32" i="7"/>
  <c r="CE23" i="7"/>
  <c r="CE40" i="7"/>
  <c r="CE31" i="7"/>
  <c r="CE48" i="7"/>
  <c r="CE63" i="7"/>
  <c r="CE49" i="7"/>
  <c r="CE24" i="7"/>
  <c r="CE16" i="7"/>
  <c r="CE60" i="7"/>
  <c r="CE22" i="7"/>
  <c r="CE17" i="7"/>
  <c r="CE59" i="7"/>
  <c r="CE46" i="7"/>
  <c r="CE42" i="7"/>
  <c r="CE38" i="7"/>
  <c r="CE25" i="7"/>
  <c r="CE28" i="7"/>
  <c r="CE19" i="7"/>
  <c r="CE35" i="7"/>
  <c r="CE43" i="7"/>
  <c r="CE15" i="7"/>
  <c r="CE14" i="7"/>
  <c r="CE34" i="7"/>
  <c r="CE26" i="7"/>
  <c r="CE47" i="7"/>
  <c r="CE33" i="7"/>
  <c r="CE30" i="7"/>
  <c r="CE36" i="7"/>
  <c r="CE20" i="7"/>
  <c r="CE12" i="7"/>
  <c r="CE41" i="7"/>
  <c r="CE21" i="7"/>
  <c r="CE27" i="7"/>
  <c r="CE13" i="7"/>
  <c r="CE18" i="7"/>
  <c r="CE10" i="7"/>
  <c r="C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J8" authorId="0" shapeId="0" xr:uid="{00000000-0006-0000-0600-000001000000}">
      <text>
        <r>
          <rPr>
            <b/>
            <sz val="9"/>
            <color indexed="81"/>
            <rFont val="Tahoma"/>
            <family val="2"/>
            <charset val="204"/>
          </rPr>
          <t>User: в случае несколько изменения спецификации, указыввается дата заказа по каждой позиции</t>
        </r>
        <r>
          <rPr>
            <sz val="9"/>
            <color indexed="81"/>
            <rFont val="Tahoma"/>
            <family val="2"/>
            <charset val="204"/>
          </rPr>
          <t xml:space="preserve">
</t>
        </r>
      </text>
    </comment>
    <comment ref="L71" authorId="0" shapeId="0" xr:uid="{00000000-0006-0000-0600-000002000000}">
      <text>
        <r>
          <rPr>
            <b/>
            <sz val="9"/>
            <color indexed="81"/>
            <rFont val="Tahoma"/>
            <family val="2"/>
            <charset val="204"/>
          </rPr>
          <t>User:</t>
        </r>
        <r>
          <rPr>
            <sz val="9"/>
            <color indexed="81"/>
            <rFont val="Tahoma"/>
            <family val="2"/>
            <charset val="204"/>
          </rPr>
          <t xml:space="preserve">
(материалы, сырье, комплектующие, без учета услуги субподряда / трудозатратов, маржи, …)</t>
        </r>
      </text>
    </comment>
  </commentList>
</comments>
</file>

<file path=xl/sharedStrings.xml><?xml version="1.0" encoding="utf-8"?>
<sst xmlns="http://schemas.openxmlformats.org/spreadsheetml/2006/main" count="1744" uniqueCount="457">
  <si>
    <t>поз</t>
  </si>
  <si>
    <t>Категория</t>
  </si>
  <si>
    <t>Наименование</t>
  </si>
  <si>
    <t>Ед изм.</t>
  </si>
  <si>
    <t>К-во</t>
  </si>
  <si>
    <t xml:space="preserve">М.п сварки/к-во деталей на уз </t>
  </si>
  <si>
    <t>Норма</t>
  </si>
  <si>
    <t>Время, ч.</t>
  </si>
  <si>
    <t>Ставка</t>
  </si>
  <si>
    <t>К-во узлов</t>
  </si>
  <si>
    <t>Абрис</t>
  </si>
  <si>
    <t>Наименование работ</t>
  </si>
  <si>
    <t>Погрузочно-разгрузочные работы</t>
  </si>
  <si>
    <t>Упаковочные работы</t>
  </si>
  <si>
    <t>Сварочно-сборочные работы</t>
  </si>
  <si>
    <t>Поз</t>
  </si>
  <si>
    <t>СЕБЕСТОИМОСТЬ ТРУДОЗАТРАТ</t>
  </si>
  <si>
    <t>ПОУЗЛОВОЙ РАСЧЕТ СЕБЕСТОИМОСТИ ТРУДОЗАТРАТ</t>
  </si>
  <si>
    <t>СЕБЕСТОИМОСТЬ МАТЕРИАЛОВ И УСЛУГ</t>
  </si>
  <si>
    <t>Цена без НДС</t>
  </si>
  <si>
    <t>Стоимость без НДС</t>
  </si>
  <si>
    <t>Маржа на работу</t>
  </si>
  <si>
    <t>Себестоимость</t>
  </si>
  <si>
    <t>Наценка торговая</t>
  </si>
  <si>
    <t>Цена продажи</t>
  </si>
  <si>
    <t>Сверление</t>
  </si>
  <si>
    <t xml:space="preserve">Распил на ленточной пиле косой рез </t>
  </si>
  <si>
    <t>Мехобработка</t>
  </si>
  <si>
    <t>Гибка труб</t>
  </si>
  <si>
    <t>Поз.</t>
  </si>
  <si>
    <t>Обозначение</t>
  </si>
  <si>
    <t>Кол.</t>
  </si>
  <si>
    <t>Материал</t>
  </si>
  <si>
    <t>Технология</t>
  </si>
  <si>
    <t>Цена врезки по толщине</t>
  </si>
  <si>
    <t>ГИБКА</t>
  </si>
  <si>
    <t>ДА</t>
  </si>
  <si>
    <t>Цена металла</t>
  </si>
  <si>
    <t>НЕТ</t>
  </si>
  <si>
    <t>руб/кг</t>
  </si>
  <si>
    <t>Плотность</t>
  </si>
  <si>
    <t>Толщина металла:</t>
  </si>
  <si>
    <t>Цена врезки:</t>
  </si>
  <si>
    <t>08 ПС ХК</t>
  </si>
  <si>
    <t>Матовый</t>
  </si>
  <si>
    <t>ст.3 ГК</t>
  </si>
  <si>
    <t>Муар</t>
  </si>
  <si>
    <t>09Г2С</t>
  </si>
  <si>
    <t>Глянец</t>
  </si>
  <si>
    <t>Оцинковка</t>
  </si>
  <si>
    <t>Шагрень</t>
  </si>
  <si>
    <t>Аллюминий</t>
  </si>
  <si>
    <t>Нержавейка</t>
  </si>
  <si>
    <t>Собственный</t>
  </si>
  <si>
    <t>Спец</t>
  </si>
  <si>
    <t>Давальческий</t>
  </si>
  <si>
    <t>Цена резки за м.п. по толщине</t>
  </si>
  <si>
    <t>Масса кг</t>
  </si>
  <si>
    <t>наценка проц.</t>
  </si>
  <si>
    <t>на отходы проц</t>
  </si>
  <si>
    <t xml:space="preserve">Цена 1 изделия </t>
  </si>
  <si>
    <t>к-во</t>
  </si>
  <si>
    <t>Итого</t>
  </si>
  <si>
    <t>Сварка</t>
  </si>
  <si>
    <t>цена без НДС</t>
  </si>
  <si>
    <t>Обрезка</t>
  </si>
  <si>
    <t>Периметр</t>
  </si>
  <si>
    <t>Обозначение и наименование сетки</t>
  </si>
  <si>
    <t>мат</t>
  </si>
  <si>
    <t>услуга</t>
  </si>
  <si>
    <t>Итог</t>
  </si>
  <si>
    <t>Внешний вид</t>
  </si>
  <si>
    <t>Технологические габариты ДхШхВ, мм</t>
  </si>
  <si>
    <t>Внешние габариты, ДхШхВ, мм</t>
  </si>
  <si>
    <t>Масса, кг</t>
  </si>
  <si>
    <t>Тип покрытия</t>
  </si>
  <si>
    <t>RAL</t>
  </si>
  <si>
    <t>Описание</t>
  </si>
  <si>
    <t>К-во в фуре</t>
  </si>
  <si>
    <t>Серия</t>
  </si>
  <si>
    <t>Сварка сетки</t>
  </si>
  <si>
    <t>ПРОЕКТ</t>
  </si>
  <si>
    <t>Услуга</t>
  </si>
  <si>
    <t>Лазер</t>
  </si>
  <si>
    <t>Сгибы</t>
  </si>
  <si>
    <t>Сталь 08пс ГОСТ 535-88</t>
  </si>
  <si>
    <t>Ст 3 ГОСТ 14637-2015</t>
  </si>
  <si>
    <t>Сталь ОЦ 08пс ГОСТ 535-88</t>
  </si>
  <si>
    <t>09Г2С ГОСТ19281-2014</t>
  </si>
  <si>
    <t>Д16Т ГОСТ 4784-97</t>
  </si>
  <si>
    <t>Амг</t>
  </si>
  <si>
    <t>AISI 304</t>
  </si>
  <si>
    <t>Врезки</t>
  </si>
  <si>
    <t>Цена материала, руб с НДС/кг</t>
  </si>
  <si>
    <t>Периметр -
Внешний, мм</t>
  </si>
  <si>
    <t>Периметр -
Внутренний, мм</t>
  </si>
  <si>
    <t>Толщина, мм</t>
  </si>
  <si>
    <t>Кол., шт</t>
  </si>
  <si>
    <t>Стоимость материала, руб с НДС</t>
  </si>
  <si>
    <t>Стоимость гибки, руб с НДС</t>
  </si>
  <si>
    <t>Стоимость 
резки, руб с НДС</t>
  </si>
  <si>
    <t>Стоимость 1 
детали, руб с НДС</t>
  </si>
  <si>
    <t>Стоимость 
комплекта, руб с НДС</t>
  </si>
  <si>
    <t>Стоимость 
комплекта, руб без НДС</t>
  </si>
  <si>
    <t>Цена гибки, руб с НДС/сгиб</t>
  </si>
  <si>
    <t>Цена врезки, руб с НДС/врезка</t>
  </si>
  <si>
    <t>Цена резки, руб с НДС/м</t>
  </si>
  <si>
    <t>Цена материала</t>
  </si>
  <si>
    <t>Стоимость 
Фрезеровки, руб без НДС</t>
  </si>
  <si>
    <t>Стоимость 
материала, руб безНДС</t>
  </si>
  <si>
    <t>Общая масса, кг</t>
  </si>
  <si>
    <t>Фрезеровка</t>
  </si>
  <si>
    <t>Покрасочые работы</t>
  </si>
  <si>
    <t>Длина, м</t>
  </si>
  <si>
    <t>Ширина, м</t>
  </si>
  <si>
    <t>Площадь, м.кв</t>
  </si>
  <si>
    <t>Код проекта:</t>
  </si>
  <si>
    <t>ТИП СПЕЦИФИКАЦИЯ</t>
  </si>
  <si>
    <t>ОСНОВНАЯ</t>
  </si>
  <si>
    <t>заполняется Менеджеро Проекта</t>
  </si>
  <si>
    <t>ЕТО</t>
  </si>
  <si>
    <t>отгрузка</t>
  </si>
  <si>
    <t>Наименование проекта:</t>
  </si>
  <si>
    <t>Дата выдачи спецификации:</t>
  </si>
  <si>
    <t>заполняется Снабженца</t>
  </si>
  <si>
    <t>Дата отгрузки проекта</t>
  </si>
  <si>
    <t>заполняется Нач. Склада</t>
  </si>
  <si>
    <t>СПЕЦИФИКАЦИЯ ПРОЕКТА</t>
  </si>
  <si>
    <t xml:space="preserve">ПЛАН ЗАКУПОК </t>
  </si>
  <si>
    <t>( автоматическое заполнение )</t>
  </si>
  <si>
    <t>ПОЛУЧЕНО</t>
  </si>
  <si>
    <t>%</t>
  </si>
  <si>
    <t>№</t>
  </si>
  <si>
    <t>Обозначение детали или наименование материала/ресурса</t>
  </si>
  <si>
    <t>Наименование детали</t>
  </si>
  <si>
    <t>Единица измерения</t>
  </si>
  <si>
    <t>Кол на 1 компл</t>
  </si>
  <si>
    <t>Кол компл</t>
  </si>
  <si>
    <t>Общее кол</t>
  </si>
  <si>
    <t>желаемый срок получения</t>
  </si>
  <si>
    <t>Крайный Срок (КС)</t>
  </si>
  <si>
    <t xml:space="preserve">Дата Заказа позиция </t>
  </si>
  <si>
    <t>Примечание</t>
  </si>
  <si>
    <t>Планируемый Срок получение (ПС)</t>
  </si>
  <si>
    <t>Отметка о получении №4</t>
  </si>
  <si>
    <t>Отметка о получении №3</t>
  </si>
  <si>
    <t>Отметка о получении №2</t>
  </si>
  <si>
    <t>Отметка о получении №1</t>
  </si>
  <si>
    <t>Дата получения / количество</t>
  </si>
  <si>
    <t>Дата</t>
  </si>
  <si>
    <t>Поставщик</t>
  </si>
  <si>
    <t>№ тн</t>
  </si>
  <si>
    <t>КОЛ.</t>
  </si>
  <si>
    <t>ИТОГО</t>
  </si>
  <si>
    <t>Лазерный труборез</t>
  </si>
  <si>
    <t>ЧПУ гибка прутка</t>
  </si>
  <si>
    <t>Гальваническое покрытие</t>
  </si>
  <si>
    <r>
      <t>От кого :</t>
    </r>
    <r>
      <rPr>
        <u/>
        <sz val="12"/>
        <rFont val="Arial"/>
        <family val="2"/>
        <charset val="204"/>
      </rPr>
      <t xml:space="preserve">                 </t>
    </r>
    <r>
      <rPr>
        <sz val="8"/>
        <color theme="1"/>
        <rFont val="Calibri"/>
        <family val="2"/>
        <charset val="204"/>
        <scheme val="minor"/>
      </rPr>
      <t>__________________________________</t>
    </r>
  </si>
  <si>
    <t>БЮДЖЕТ</t>
  </si>
  <si>
    <t>ПРОТОТИП</t>
  </si>
  <si>
    <t>Эти расходы входят в бюджет</t>
  </si>
  <si>
    <t>ПРЕДВАРИТЕЛЬНАЯ</t>
  </si>
  <si>
    <r>
      <t xml:space="preserve">Технический Директор   </t>
    </r>
    <r>
      <rPr>
        <sz val="8"/>
        <color theme="1"/>
        <rFont val="Calibri"/>
        <family val="2"/>
        <charset val="204"/>
        <scheme val="minor"/>
      </rPr>
      <t>________________</t>
    </r>
  </si>
  <si>
    <t xml:space="preserve">Указывать остаток бюджета по затратную часть </t>
  </si>
  <si>
    <t>ДОЗАКАЗ</t>
  </si>
  <si>
    <r>
      <t>Дата получения спецификации в "Отделе снабжения":</t>
    </r>
    <r>
      <rPr>
        <sz val="8"/>
        <color theme="1"/>
        <rFont val="Calibri"/>
        <family val="2"/>
        <charset val="204"/>
        <scheme val="minor"/>
      </rPr>
      <t>_______________________</t>
    </r>
  </si>
  <si>
    <t>ИЗМЕНЕНИЯ</t>
  </si>
  <si>
    <t>Если нет, то на сколько ориентировочно)</t>
  </si>
  <si>
    <t>Дата АВТОРИЗАЦИЯ В ФИНАНС. ОТДЕЛЕ + подпись</t>
  </si>
  <si>
    <t>Запрещается составить новые (несколько спецификации, допускается только обновлении.</t>
  </si>
  <si>
    <t>(предоставить к спецификацию запольненная смета по факту)</t>
  </si>
  <si>
    <t>NB : информации по бюджетов не заполняются для прототипов / предварительнных спецификации</t>
  </si>
  <si>
    <t>Крепеж</t>
  </si>
  <si>
    <t>Услуги</t>
  </si>
  <si>
    <t>ЧПУ фрезеровка</t>
  </si>
  <si>
    <t>Материальная часть</t>
  </si>
  <si>
    <t>кг мат</t>
  </si>
  <si>
    <t>Ratio S/M</t>
  </si>
  <si>
    <t>(норма 200-350)</t>
  </si>
  <si>
    <t>Общее время на узел, ч</t>
  </si>
  <si>
    <t>Общая цена узла без НДС</t>
  </si>
  <si>
    <t>Мехобработка субподряд</t>
  </si>
  <si>
    <t>Наклейка</t>
  </si>
  <si>
    <t>Навивка пружин</t>
  </si>
  <si>
    <t>с НДС</t>
  </si>
  <si>
    <t>Итого материалы и услуги</t>
  </si>
  <si>
    <t>Структура цены</t>
  </si>
  <si>
    <t>Е14</t>
  </si>
  <si>
    <t>услуги субподрядчиков (сторонние организации)</t>
  </si>
  <si>
    <t>Е11</t>
  </si>
  <si>
    <t>материалы и комплектующие (прямые расходы для заказов)</t>
  </si>
  <si>
    <t>Расходы на снабжение</t>
  </si>
  <si>
    <t>Ж12</t>
  </si>
  <si>
    <t>Ж13</t>
  </si>
  <si>
    <t>изготовление оснастки - приспособления для производства</t>
  </si>
  <si>
    <t>расх.материалы для производства, оснастка, спец.одежда и СИЗ</t>
  </si>
  <si>
    <t>Е12</t>
  </si>
  <si>
    <t>расходы на покупку материалов (транспорт от поставщика до предприятия)</t>
  </si>
  <si>
    <t>ФОТ ИТР и конструкторов</t>
  </si>
  <si>
    <t>ФОТ рабочих оклад</t>
  </si>
  <si>
    <t>ФОТ рабочих сделка</t>
  </si>
  <si>
    <t>А1</t>
  </si>
  <si>
    <t>А21</t>
  </si>
  <si>
    <t>А23</t>
  </si>
  <si>
    <t>А24</t>
  </si>
  <si>
    <t>Г11</t>
  </si>
  <si>
    <t>Обслуживание погрузчика и автотранспорта</t>
  </si>
  <si>
    <t>Д11</t>
  </si>
  <si>
    <t>Электричество</t>
  </si>
  <si>
    <t>Д13</t>
  </si>
  <si>
    <t>топливо, ГСМ (бензин, ДТ, автомобильные масла и смазки)</t>
  </si>
  <si>
    <t>Отопление</t>
  </si>
  <si>
    <t>расходы на отгрузку продукции (доставка до Заказчика)</t>
  </si>
  <si>
    <t>Д12</t>
  </si>
  <si>
    <t>Е13</t>
  </si>
  <si>
    <t>Ж11</t>
  </si>
  <si>
    <t>покупка инструмента / мелкое оборуд. (стоим.&lt;100т.р., &gt;5т.р.)</t>
  </si>
  <si>
    <t>расходы на изготовление образцов для заказчиков</t>
  </si>
  <si>
    <t>Ж14</t>
  </si>
  <si>
    <t>Приобретение станков, активов - ОС (стоим. &gt;100 т.р. или 12 мес.)</t>
  </si>
  <si>
    <t>З11</t>
  </si>
  <si>
    <t>А4</t>
  </si>
  <si>
    <t>Налог на прибыль и добавленную стоимость</t>
  </si>
  <si>
    <t>А3</t>
  </si>
  <si>
    <t>Долги перед банками и лизинг</t>
  </si>
  <si>
    <t xml:space="preserve">ФОТ АУП </t>
  </si>
  <si>
    <t>А22</t>
  </si>
  <si>
    <t>А25</t>
  </si>
  <si>
    <t>Соц.налог и выплаты</t>
  </si>
  <si>
    <t>Аренда</t>
  </si>
  <si>
    <t>В1</t>
  </si>
  <si>
    <t>Реклама и маркетинг</t>
  </si>
  <si>
    <t>Б1</t>
  </si>
  <si>
    <t>Переменные косвенные расходы (командир., внепроектные, НН)</t>
  </si>
  <si>
    <t>А5</t>
  </si>
  <si>
    <t>Другие ежемесячные расходы (офисные)</t>
  </si>
  <si>
    <t>Нераспределенная прибыль</t>
  </si>
  <si>
    <t>Коммерческий отдел</t>
  </si>
  <si>
    <t>Прибыль учредителей</t>
  </si>
  <si>
    <t>размер фонда</t>
  </si>
  <si>
    <t>получено из сметы</t>
  </si>
  <si>
    <t>Доставка</t>
  </si>
  <si>
    <t>Заготовка</t>
  </si>
  <si>
    <r>
      <t xml:space="preserve">Сечение или </t>
    </r>
    <r>
      <rPr>
        <i/>
        <sz val="12"/>
        <color theme="1"/>
        <rFont val="SWGDT"/>
      </rPr>
      <t xml:space="preserve">
</t>
    </r>
    <r>
      <rPr>
        <i/>
        <sz val="12"/>
        <color theme="1"/>
        <rFont val="Arial"/>
        <family val="2"/>
        <charset val="204"/>
      </rPr>
      <t>толщина</t>
    </r>
  </si>
  <si>
    <t>Длина</t>
  </si>
  <si>
    <r>
      <t xml:space="preserve">/Общая </t>
    </r>
    <r>
      <rPr>
        <i/>
        <sz val="12"/>
        <color theme="1"/>
        <rFont val="SWGDT"/>
      </rPr>
      <t xml:space="preserve">
</t>
    </r>
    <r>
      <rPr>
        <i/>
        <sz val="12"/>
        <color theme="1"/>
        <rFont val="Arial"/>
        <family val="2"/>
        <charset val="204"/>
      </rPr>
      <t>длина</t>
    </r>
  </si>
  <si>
    <t>Масса</t>
  </si>
  <si>
    <r>
      <t xml:space="preserve">/Общая </t>
    </r>
    <r>
      <rPr>
        <i/>
        <sz val="12"/>
        <color theme="1"/>
        <rFont val="SWGDT"/>
      </rPr>
      <t xml:space="preserve">
</t>
    </r>
    <r>
      <rPr>
        <i/>
        <sz val="12"/>
        <color theme="1"/>
        <rFont val="Arial"/>
        <family val="2"/>
        <charset val="204"/>
      </rPr>
      <t>масса</t>
    </r>
  </si>
  <si>
    <t>Площадь</t>
  </si>
  <si>
    <r>
      <t xml:space="preserve">/Общая </t>
    </r>
    <r>
      <rPr>
        <i/>
        <sz val="12"/>
        <color theme="1"/>
        <rFont val="SWGDT"/>
      </rPr>
      <t xml:space="preserve">
</t>
    </r>
    <r>
      <rPr>
        <i/>
        <sz val="12"/>
        <color theme="1"/>
        <rFont val="Arial"/>
        <family val="2"/>
        <charset val="204"/>
      </rPr>
      <t>площадь</t>
    </r>
  </si>
  <si>
    <t>ОТВ</t>
  </si>
  <si>
    <r>
      <t xml:space="preserve">/Общее </t>
    </r>
    <r>
      <rPr>
        <i/>
        <sz val="12"/>
        <color theme="1"/>
        <rFont val="SWGDT"/>
      </rPr>
      <t xml:space="preserve">
</t>
    </r>
    <r>
      <rPr>
        <i/>
        <sz val="12"/>
        <color theme="1"/>
        <rFont val="Arial"/>
        <family val="2"/>
        <charset val="204"/>
      </rPr>
      <t>к-во отв.</t>
    </r>
  </si>
  <si>
    <t>ЧПУ трубогиб</t>
  </si>
  <si>
    <t>Сварка сетки субподряд</t>
  </si>
  <si>
    <t>Кол.проходов</t>
  </si>
  <si>
    <t>Раздел</t>
  </si>
  <si>
    <t>Время МО</t>
  </si>
  <si>
    <t>Косые резы</t>
  </si>
  <si>
    <t>/Общее  к-во косых резов</t>
  </si>
  <si>
    <t>К-во сгибов</t>
  </si>
  <si>
    <t>К-во вырезов</t>
  </si>
  <si>
    <t>Перим. наруж.</t>
  </si>
  <si>
    <t>Перм. внутр.</t>
  </si>
  <si>
    <t>Распил на ленточной пиле прямой рез</t>
  </si>
  <si>
    <t>Цена, руб без НДС</t>
  </si>
  <si>
    <t>Стоимость, руб без НДС</t>
  </si>
  <si>
    <t>Фактическая Итоговая стоимость, руб. без НДС</t>
  </si>
  <si>
    <t>Фактическая стоимость на комплект, руб бех НДС</t>
  </si>
  <si>
    <t>Разница в %</t>
  </si>
  <si>
    <t>Время, затраченное на проект</t>
  </si>
  <si>
    <t>от 1 до 7 шт - стоимость 750 руб/час, 2х трудозатраты
от 8 до 40 -   стоимость 750 руб/час, 1х трудозатраты
от 41 шт -      стоимость 600 руб/час, 1х трудозатраты</t>
  </si>
  <si>
    <t>Изготовление кондукторов</t>
  </si>
  <si>
    <t>Время, часов</t>
  </si>
  <si>
    <t>Ставка, руб</t>
  </si>
  <si>
    <t>Стоимость, руб</t>
  </si>
  <si>
    <t>Время на изготовление кондуктора на комплект, мин</t>
  </si>
  <si>
    <t>OZ87 01.01.003</t>
  </si>
  <si>
    <t>Пруток</t>
  </si>
  <si>
    <t>Детали</t>
  </si>
  <si>
    <t>Проволока</t>
  </si>
  <si>
    <t>ЧПУ гибка проволоки</t>
  </si>
  <si>
    <t>НОВАР</t>
  </si>
  <si>
    <t>OZ87 01.01.004</t>
  </si>
  <si>
    <t>Перекладина</t>
  </si>
  <si>
    <t>OZ87 01.01.005</t>
  </si>
  <si>
    <t>Распорка</t>
  </si>
  <si>
    <t>OZ87 01.01.221</t>
  </si>
  <si>
    <t>Разделитель</t>
  </si>
  <si>
    <t>OZ87 01.01.222</t>
  </si>
  <si>
    <t>OZ87 01.02.001</t>
  </si>
  <si>
    <t>OZ87 01.02.002</t>
  </si>
  <si>
    <t>Ограничитель</t>
  </si>
  <si>
    <t>OZ87 01.02.005</t>
  </si>
  <si>
    <t>OZ87 01.02.006</t>
  </si>
  <si>
    <t>OZ87 01.03.003</t>
  </si>
  <si>
    <t>OZ87 01.01.212</t>
  </si>
  <si>
    <t>Труба</t>
  </si>
  <si>
    <t>15х15х1,5</t>
  </si>
  <si>
    <t>Резка</t>
  </si>
  <si>
    <t>Мех.цех</t>
  </si>
  <si>
    <t>OZ87 01.01.001</t>
  </si>
  <si>
    <t>Стойка</t>
  </si>
  <si>
    <t>25х25х1,5</t>
  </si>
  <si>
    <t>OZ87 01.01.101</t>
  </si>
  <si>
    <t>OZ87 01.01.102</t>
  </si>
  <si>
    <t>OZ87 01.01.211</t>
  </si>
  <si>
    <t>OZ87 01.01.311</t>
  </si>
  <si>
    <t>OZ87 01.09.003</t>
  </si>
  <si>
    <t>ВГП ДУ20х2,8(26,8х2,8)</t>
  </si>
  <si>
    <t>OZ87 01.01.002</t>
  </si>
  <si>
    <t>Лист столешницы</t>
  </si>
  <si>
    <t>Лист</t>
  </si>
  <si>
    <t>Л+Г</t>
  </si>
  <si>
    <t>Пром-Лазер</t>
  </si>
  <si>
    <t>OZ87 01.02.101</t>
  </si>
  <si>
    <t>Полка</t>
  </si>
  <si>
    <t>1,5</t>
  </si>
  <si>
    <t>OZ87 01.02.102</t>
  </si>
  <si>
    <t>OZ87 01.02.103</t>
  </si>
  <si>
    <t>OZ87 01.02.104</t>
  </si>
  <si>
    <t>OZ87 01.02.105</t>
  </si>
  <si>
    <t>OZ87 01.02.106</t>
  </si>
  <si>
    <t>OZ87 01.02.107</t>
  </si>
  <si>
    <t>Уголок</t>
  </si>
  <si>
    <t>OZ87 01.02.108</t>
  </si>
  <si>
    <t>OZ87 01.03.001</t>
  </si>
  <si>
    <t>Кронштейн</t>
  </si>
  <si>
    <t>OZ87 01.04.001</t>
  </si>
  <si>
    <t>OZ87 01.04.002</t>
  </si>
  <si>
    <t>Балка</t>
  </si>
  <si>
    <t>OZ87 01.05.001</t>
  </si>
  <si>
    <t>OZ87 01.05.002</t>
  </si>
  <si>
    <t>OZ87 01.01.301</t>
  </si>
  <si>
    <t>Л</t>
  </si>
  <si>
    <t>OZ87 01.01.006</t>
  </si>
  <si>
    <t>Заглушка</t>
  </si>
  <si>
    <t>OZ87 01.03.002</t>
  </si>
  <si>
    <t>Стенка кронштейна</t>
  </si>
  <si>
    <t>OZ87 01.04.003</t>
  </si>
  <si>
    <t>Косынка</t>
  </si>
  <si>
    <t>OZ87 01.05.003</t>
  </si>
  <si>
    <t>OZ87 01.05.004</t>
  </si>
  <si>
    <t>Фланец</t>
  </si>
  <si>
    <t>OZ87 01.10.001</t>
  </si>
  <si>
    <t>Пятка</t>
  </si>
  <si>
    <t>OZ87 01.09.001</t>
  </si>
  <si>
    <t>OZ87 01.09.002</t>
  </si>
  <si>
    <t>Площадка</t>
  </si>
  <si>
    <t>OZ87 01.00.002</t>
  </si>
  <si>
    <t>Прокладка</t>
  </si>
  <si>
    <t>OZ87 01.01.201</t>
  </si>
  <si>
    <t>Сетка 741х1091 (53х53х3)</t>
  </si>
  <si>
    <t>КС</t>
  </si>
  <si>
    <t>OZ87 01.02.003</t>
  </si>
  <si>
    <t>Сетка задняя 1200х600 (53х53х3)</t>
  </si>
  <si>
    <t>OZ87 01.02.004</t>
  </si>
  <si>
    <t>Сетка боковаая 600х250 (50х50х3)</t>
  </si>
  <si>
    <t>Гайка-заклепка М10 hex пот.</t>
  </si>
  <si>
    <t>curved spring lock washer_din</t>
  </si>
  <si>
    <t>Шайба гров. 6 DIN 127</t>
  </si>
  <si>
    <t>Шайба гров. 8 DIN 127</t>
  </si>
  <si>
    <t>hex nut gradec_din</t>
  </si>
  <si>
    <t>Гайка M6 DIN 934</t>
  </si>
  <si>
    <t>Гайка M8 DIN 934</t>
  </si>
  <si>
    <t>hex screw gradeab_din</t>
  </si>
  <si>
    <t>Болт M10 х 100 DIN 933</t>
  </si>
  <si>
    <t>pan head cross recess screw_din</t>
  </si>
  <si>
    <t>Винт M6х16 DIN 7045</t>
  </si>
  <si>
    <t>Винт M6х45 DIN 7045</t>
  </si>
  <si>
    <t>Винт M8х20 DIN 7045</t>
  </si>
  <si>
    <t>Винт M6х25 DIN 7045</t>
  </si>
  <si>
    <t>plain washer grade a_din</t>
  </si>
  <si>
    <t>Шайба 6.4 DIN 125</t>
  </si>
  <si>
    <t>Шайба 8.4 DIN 125</t>
  </si>
  <si>
    <t>prevailing torque nut style 1 insert_din</t>
  </si>
  <si>
    <t>Гайка ск. M6 DIN 7040</t>
  </si>
  <si>
    <t>OZ87 Стол упаковки</t>
  </si>
  <si>
    <t>1200x950x2131,5</t>
  </si>
  <si>
    <t>1200x800x900</t>
  </si>
  <si>
    <t>Краска</t>
  </si>
  <si>
    <t>Стол для упаковки разборный с надстройкой, держателем рулонов скотча</t>
  </si>
  <si>
    <t>кг.</t>
  </si>
  <si>
    <t>Проволока 3</t>
  </si>
  <si>
    <t>Труба 15х15х1,5</t>
  </si>
  <si>
    <t>м.</t>
  </si>
  <si>
    <t>Труба 25х25х1,5</t>
  </si>
  <si>
    <t>Труба ВГП ДУ20х2,8(26,8х2,8)</t>
  </si>
  <si>
    <t>шт.</t>
  </si>
  <si>
    <t>oz87 01.10.001</t>
  </si>
  <si>
    <t>oz87 01.02.006</t>
  </si>
  <si>
    <t>oz87 01.02.002</t>
  </si>
  <si>
    <t>oz87 01.02.003</t>
  </si>
  <si>
    <t>oz87 01.02.005</t>
  </si>
  <si>
    <t>oz87 01.02.100</t>
  </si>
  <si>
    <t>oz87 01.02.001</t>
  </si>
  <si>
    <t>oz87 01.02.004</t>
  </si>
  <si>
    <t>oz87 01.02.107</t>
  </si>
  <si>
    <t>oz87 01.02.103</t>
  </si>
  <si>
    <t>oz87 01.02.101</t>
  </si>
  <si>
    <t>oz87 01.02.102</t>
  </si>
  <si>
    <t>oz87 01.02.104</t>
  </si>
  <si>
    <t>oz87 01.02.106</t>
  </si>
  <si>
    <t>oz87 01.02.105</t>
  </si>
  <si>
    <t>oz87 01.02.108</t>
  </si>
  <si>
    <t>oz87 01.03.001</t>
  </si>
  <si>
    <t>oz87 01.03.002</t>
  </si>
  <si>
    <t>oz87 01.03.003</t>
  </si>
  <si>
    <t>oz87 01.04.002</t>
  </si>
  <si>
    <t>oz87 01.04.003</t>
  </si>
  <si>
    <t>oz87 01.04.001</t>
  </si>
  <si>
    <t>oz87 01.09.003</t>
  </si>
  <si>
    <t>oz87 01.09.001</t>
  </si>
  <si>
    <t>oz87 01.09.002</t>
  </si>
  <si>
    <t>oz87 01.05.002</t>
  </si>
  <si>
    <t>oz87 01.05.001</t>
  </si>
  <si>
    <t>oz87 01.05.003</t>
  </si>
  <si>
    <t>oz87 01.05.004</t>
  </si>
  <si>
    <t>oz87 01.01.004</t>
  </si>
  <si>
    <t>oz87 01.01.001</t>
  </si>
  <si>
    <t>oz87 01.01.002</t>
  </si>
  <si>
    <t>oz87 01.01.003</t>
  </si>
  <si>
    <t>oz87 01.01.005</t>
  </si>
  <si>
    <t>oz87 01.01.006</t>
  </si>
  <si>
    <t>oz87 01.01.212</t>
  </si>
  <si>
    <t>oz87 01.01.300</t>
  </si>
  <si>
    <t>oz87 01.01.200</t>
  </si>
  <si>
    <t>oz87 01.01.100</t>
  </si>
  <si>
    <t>oz87 01.01.310</t>
  </si>
  <si>
    <t>oz87 01.01.301</t>
  </si>
  <si>
    <t>oz87 01.01.102</t>
  </si>
  <si>
    <t>oz87 01.01.311</t>
  </si>
  <si>
    <t>oz87 01.01.220</t>
  </si>
  <si>
    <t>oz87 01.01.210</t>
  </si>
  <si>
    <t>oz87 01.01.201</t>
  </si>
  <si>
    <t>oz87 01.01.221</t>
  </si>
  <si>
    <t>oz87 01.01.222</t>
  </si>
  <si>
    <t>oz87 01.01.211</t>
  </si>
  <si>
    <t>oz87 01.01.101</t>
  </si>
  <si>
    <t>oz87 01.10.000</t>
  </si>
  <si>
    <t>oz87 01.00.002</t>
  </si>
  <si>
    <t>oz87 01.02.000</t>
  </si>
  <si>
    <t>oz87 01.03.000</t>
  </si>
  <si>
    <t>oz87 01.04.000</t>
  </si>
  <si>
    <t>oz87 01.09.000</t>
  </si>
  <si>
    <t>oz87 01.05.000</t>
  </si>
  <si>
    <t>oz87 01.01.000</t>
  </si>
  <si>
    <t>Металл</t>
  </si>
  <si>
    <t>Краска RAL-7035</t>
  </si>
  <si>
    <t>кол-во операций</t>
  </si>
  <si>
    <t>общая цена узла</t>
  </si>
  <si>
    <t>ножка</t>
  </si>
  <si>
    <t>Столбец1</t>
  </si>
  <si>
    <t>Столбец2</t>
  </si>
  <si>
    <t>Столбец3</t>
  </si>
  <si>
    <t>Столбец4</t>
  </si>
  <si>
    <t>Столбец5</t>
  </si>
  <si>
    <t>ЧТО-ТО ПРИДУМАЛ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</si>
</sst>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 &quot;₽&quot;"/>
    <numFmt numFmtId="166" formatCode="#,##0.00\ &quot;₽&quot;"/>
    <numFmt numFmtId="167" formatCode="#,##0.0\ &quot;₽&quot;"/>
    <numFmt numFmtId="168" formatCode="0.0%"/>
    <numFmt numFmtId="169" formatCode="#,##0.00000\ &quot;₽&quot;"/>
    <numFmt numFmtId="170" formatCode="[$-F400]h:mm:ss\ AM/PM"/>
  </numFmts>
  <fonts count="41">
    <font>
      <sz val="8"/>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Arial"/>
      <family val="2"/>
      <charset val="204"/>
    </font>
    <font>
      <i/>
      <sz val="12"/>
      <color theme="1"/>
      <name val="Arial"/>
      <family val="2"/>
      <charset val="204"/>
    </font>
    <font>
      <sz val="12"/>
      <color theme="1"/>
      <name val="Calibri"/>
      <family val="2"/>
      <charset val="204"/>
      <scheme val="minor"/>
    </font>
    <font>
      <i/>
      <sz val="10"/>
      <color theme="1"/>
      <name val="Arial"/>
      <family val="2"/>
      <charset val="204"/>
    </font>
    <font>
      <b/>
      <sz val="12"/>
      <color theme="1"/>
      <name val="Arial"/>
      <family val="2"/>
      <charset val="204"/>
    </font>
    <font>
      <sz val="10"/>
      <color theme="1"/>
      <name val="Arial"/>
      <family val="2"/>
      <charset val="204"/>
    </font>
    <font>
      <sz val="8"/>
      <color theme="1"/>
      <name val="Calibri"/>
      <family val="2"/>
      <charset val="204"/>
      <scheme val="minor"/>
    </font>
    <font>
      <sz val="8"/>
      <name val="Calibri"/>
      <family val="2"/>
      <charset val="204"/>
      <scheme val="minor"/>
    </font>
    <font>
      <sz val="14"/>
      <name val="Calibri"/>
      <family val="2"/>
      <charset val="204"/>
      <scheme val="minor"/>
    </font>
    <font>
      <sz val="20"/>
      <name val="Calibri"/>
      <family val="2"/>
      <charset val="204"/>
      <scheme val="minor"/>
    </font>
    <font>
      <i/>
      <sz val="12"/>
      <name val="Calibri"/>
      <family val="2"/>
      <charset val="204"/>
      <scheme val="minor"/>
    </font>
    <font>
      <sz val="12"/>
      <name val="Calibri"/>
      <family val="2"/>
      <charset val="204"/>
      <scheme val="minor"/>
    </font>
    <font>
      <sz val="11"/>
      <name val="Calibri"/>
      <family val="2"/>
      <charset val="204"/>
      <scheme val="minor"/>
    </font>
    <font>
      <sz val="11"/>
      <color theme="1"/>
      <name val="Calibri"/>
      <family val="2"/>
      <charset val="204"/>
      <scheme val="minor"/>
    </font>
    <font>
      <sz val="14"/>
      <color theme="1"/>
      <name val="Calibri"/>
      <family val="2"/>
      <charset val="204"/>
      <scheme val="minor"/>
    </font>
    <font>
      <i/>
      <sz val="12"/>
      <color theme="1"/>
      <name val="Bell MT"/>
      <family val="1"/>
    </font>
    <font>
      <sz val="10"/>
      <name val="Arial"/>
      <family val="2"/>
      <charset val="204"/>
    </font>
    <font>
      <b/>
      <u/>
      <sz val="14"/>
      <name val="Arial"/>
      <family val="2"/>
      <charset val="204"/>
    </font>
    <font>
      <sz val="14"/>
      <name val="Arial"/>
      <family val="2"/>
      <charset val="204"/>
    </font>
    <font>
      <b/>
      <sz val="10"/>
      <name val="Arial"/>
      <family val="2"/>
      <charset val="204"/>
    </font>
    <font>
      <b/>
      <sz val="12"/>
      <color rgb="FFFF0000"/>
      <name val="Arial"/>
      <family val="2"/>
      <charset val="204"/>
    </font>
    <font>
      <sz val="10"/>
      <name val="Arial"/>
      <family val="2"/>
      <charset val="204"/>
    </font>
    <font>
      <b/>
      <sz val="14"/>
      <name val="Arial"/>
      <family val="2"/>
      <charset val="204"/>
    </font>
    <font>
      <b/>
      <sz val="11"/>
      <name val="Arial"/>
      <family val="2"/>
      <charset val="204"/>
    </font>
    <font>
      <sz val="12"/>
      <name val="Arial"/>
      <family val="2"/>
      <charset val="204"/>
    </font>
    <font>
      <sz val="8"/>
      <name val="Arial"/>
      <family val="2"/>
      <charset val="204"/>
    </font>
    <font>
      <sz val="9"/>
      <name val="Arial"/>
      <family val="2"/>
      <charset val="204"/>
    </font>
    <font>
      <sz val="11"/>
      <name val="Arial"/>
      <family val="2"/>
      <charset val="204"/>
    </font>
    <font>
      <b/>
      <sz val="9"/>
      <color rgb="FFFF0000"/>
      <name val="Arial"/>
      <family val="2"/>
      <charset val="204"/>
    </font>
    <font>
      <u/>
      <sz val="12"/>
      <name val="Arial"/>
      <family val="2"/>
      <charset val="204"/>
    </font>
    <font>
      <b/>
      <sz val="11"/>
      <color rgb="FFFF0000"/>
      <name val="Arial"/>
      <family val="2"/>
      <charset val="204"/>
    </font>
    <font>
      <b/>
      <sz val="9"/>
      <color indexed="81"/>
      <name val="Tahoma"/>
      <family val="2"/>
      <charset val="204"/>
    </font>
    <font>
      <sz val="9"/>
      <color indexed="81"/>
      <name val="Tahoma"/>
      <family val="2"/>
      <charset val="204"/>
    </font>
    <font>
      <sz val="7"/>
      <color theme="1"/>
      <name val="Arial"/>
      <family val="2"/>
      <charset val="204"/>
    </font>
    <font>
      <sz val="11"/>
      <color theme="1"/>
      <name val="Arial"/>
      <family val="2"/>
      <charset val="204"/>
    </font>
    <font>
      <i/>
      <sz val="12"/>
      <color theme="1"/>
      <name val="SWGDT"/>
    </font>
    <font>
      <sz val="10"/>
      <color theme="7" tint="0.59999389629810485"/>
      <name val="Arial"/>
      <family val="2"/>
      <charset val="204"/>
    </font>
    <font>
      <sz val="12"/>
      <color theme="1"/>
      <name val="Arial"/>
      <family val="2"/>
    </font>
  </fonts>
  <fills count="1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rgb="FFC00000"/>
        <bgColor indexed="64"/>
      </patternFill>
    </fill>
    <fill>
      <patternFill patternType="solid">
        <fgColor theme="5" tint="0.39997558519241921"/>
        <bgColor indexed="64"/>
      </patternFill>
    </fill>
    <fill>
      <patternFill patternType="solid">
        <fgColor indexed="43"/>
        <bgColor indexed="64"/>
      </patternFill>
    </fill>
    <fill>
      <patternFill patternType="solid">
        <fgColor rgb="FFFFFF6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7"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auto="1"/>
      </top>
      <bottom style="thin">
        <color indexed="64"/>
      </bottom>
      <diagonal/>
    </border>
  </borders>
  <cellStyleXfs count="5">
    <xf numFmtId="0" fontId="0" fillId="0" borderId="0"/>
    <xf numFmtId="164" fontId="9" fillId="0" borderId="0" applyFont="0" applyFill="0" applyBorder="0" applyAlignment="0" applyProtection="0"/>
    <xf numFmtId="0" fontId="19" fillId="0" borderId="0"/>
    <xf numFmtId="9" fontId="9" fillId="0" borderId="0" applyFont="0" applyFill="0" applyBorder="0" applyAlignment="0" applyProtection="0"/>
    <xf numFmtId="0" fontId="37" fillId="0" borderId="0"/>
  </cellStyleXfs>
  <cellXfs count="325">
    <xf numFmtId="0" fontId="0" fillId="0" borderId="0" xfId="0"/>
    <xf numFmtId="0" fontId="3" fillId="0" borderId="0" xfId="0" applyFont="1"/>
    <xf numFmtId="0" fontId="3" fillId="0" borderId="0" xfId="0" applyFont="1" applyAlignment="1">
      <alignment horizontal="center" vertical="center"/>
    </xf>
    <xf numFmtId="0" fontId="4" fillId="0" borderId="1" xfId="0" applyFont="1" applyBorder="1" applyAlignment="1">
      <alignment horizontal="center" vertical="center"/>
    </xf>
    <xf numFmtId="0" fontId="5" fillId="0" borderId="1" xfId="0" applyFont="1" applyBorder="1"/>
    <xf numFmtId="0" fontId="5" fillId="0" borderId="0" xfId="0" applyFont="1"/>
    <xf numFmtId="165" fontId="5" fillId="0" borderId="1" xfId="0" applyNumberFormat="1" applyFont="1" applyBorder="1"/>
    <xf numFmtId="166" fontId="7" fillId="3" borderId="0" xfId="0" applyNumberFormat="1" applyFont="1" applyFill="1"/>
    <xf numFmtId="49" fontId="3" fillId="0" borderId="1" xfId="0" applyNumberFormat="1" applyFont="1" applyBorder="1" applyAlignment="1">
      <alignment vertical="center"/>
    </xf>
    <xf numFmtId="165" fontId="4" fillId="0" borderId="1" xfId="0" applyNumberFormat="1" applyFont="1" applyBorder="1" applyAlignment="1">
      <alignment horizontal="center" vertical="center" wrapText="1"/>
    </xf>
    <xf numFmtId="0" fontId="6" fillId="2" borderId="9" xfId="0" applyFont="1" applyFill="1" applyBorder="1" applyAlignment="1">
      <alignment horizontal="center" vertical="center"/>
    </xf>
    <xf numFmtId="0" fontId="6" fillId="2" borderId="9" xfId="0" applyFont="1" applyFill="1" applyBorder="1" applyAlignment="1">
      <alignment horizontal="center" vertical="center" wrapText="1"/>
    </xf>
    <xf numFmtId="0" fontId="0" fillId="0" borderId="1" xfId="0" applyBorder="1"/>
    <xf numFmtId="0" fontId="8" fillId="0" borderId="1" xfId="0" applyFont="1" applyBorder="1" applyAlignment="1">
      <alignment horizontal="center" vertical="center"/>
    </xf>
    <xf numFmtId="167" fontId="8" fillId="0" borderId="1" xfId="0" applyNumberFormat="1" applyFont="1" applyBorder="1" applyAlignment="1">
      <alignment horizontal="center" vertical="center"/>
    </xf>
    <xf numFmtId="0" fontId="8" fillId="0" borderId="14" xfId="0" applyFont="1" applyBorder="1" applyAlignment="1">
      <alignment vertical="center"/>
    </xf>
    <xf numFmtId="0" fontId="8" fillId="0" borderId="14" xfId="0" applyFont="1" applyBorder="1" applyAlignment="1">
      <alignment horizontal="right"/>
    </xf>
    <xf numFmtId="0" fontId="8" fillId="0" borderId="14" xfId="0" applyFont="1" applyBorder="1" applyAlignment="1">
      <alignment horizontal="right" vertical="center"/>
    </xf>
    <xf numFmtId="0" fontId="8" fillId="0" borderId="1" xfId="0" applyFont="1" applyBorder="1"/>
    <xf numFmtId="0" fontId="8" fillId="0" borderId="4" xfId="0" applyFont="1" applyBorder="1"/>
    <xf numFmtId="0" fontId="6" fillId="2" borderId="16" xfId="0" applyFont="1" applyFill="1" applyBorder="1" applyAlignment="1">
      <alignment horizontal="center" vertical="center" wrapText="1"/>
    </xf>
    <xf numFmtId="167" fontId="8" fillId="0" borderId="5" xfId="0" applyNumberFormat="1" applyFont="1" applyBorder="1" applyAlignment="1">
      <alignment horizontal="center" vertical="center"/>
    </xf>
    <xf numFmtId="167" fontId="8" fillId="0" borderId="17" xfId="0" applyNumberFormat="1" applyFont="1" applyBorder="1" applyAlignment="1">
      <alignment horizontal="center" vertical="center"/>
    </xf>
    <xf numFmtId="0" fontId="8" fillId="0" borderId="18" xfId="0" applyFont="1" applyBorder="1"/>
    <xf numFmtId="0" fontId="8" fillId="0" borderId="5" xfId="0" applyFont="1" applyBorder="1"/>
    <xf numFmtId="0" fontId="3" fillId="0" borderId="1" xfId="0" applyFont="1" applyBorder="1"/>
    <xf numFmtId="0" fontId="8" fillId="0" borderId="2" xfId="0" applyFont="1" applyBorder="1"/>
    <xf numFmtId="0" fontId="8" fillId="0" borderId="19" xfId="0" applyFont="1" applyBorder="1"/>
    <xf numFmtId="0" fontId="3" fillId="0" borderId="2" xfId="0" applyFont="1" applyBorder="1"/>
    <xf numFmtId="0" fontId="3" fillId="0" borderId="4" xfId="0" applyFont="1" applyBorder="1"/>
    <xf numFmtId="0" fontId="0" fillId="0" borderId="2" xfId="0" applyBorder="1"/>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49" fontId="3" fillId="0" borderId="1" xfId="0" applyNumberFormat="1" applyFont="1" applyBorder="1" applyAlignment="1">
      <alignment vertical="center" wrapText="1"/>
    </xf>
    <xf numFmtId="9" fontId="3" fillId="0" borderId="0" xfId="0" applyNumberFormat="1" applyFont="1"/>
    <xf numFmtId="166" fontId="3" fillId="0" borderId="0" xfId="0" applyNumberFormat="1" applyFont="1"/>
    <xf numFmtId="0" fontId="10" fillId="0" borderId="0" xfId="0" applyFont="1"/>
    <xf numFmtId="0" fontId="11" fillId="0" borderId="1" xfId="0" applyFont="1" applyBorder="1" applyAlignment="1">
      <alignment horizontal="center"/>
    </xf>
    <xf numFmtId="0" fontId="11" fillId="0" borderId="12" xfId="0" applyFont="1" applyBorder="1" applyAlignment="1">
      <alignment horizontal="center"/>
    </xf>
    <xf numFmtId="0" fontId="11" fillId="0" borderId="6" xfId="0" applyFont="1" applyBorder="1" applyAlignment="1">
      <alignment horizontal="center"/>
    </xf>
    <xf numFmtId="0" fontId="11" fillId="0" borderId="1" xfId="0" applyFont="1" applyBorder="1" applyAlignment="1">
      <alignment horizontal="left" vertical="center"/>
    </xf>
    <xf numFmtId="0" fontId="10" fillId="0" borderId="1" xfId="0" applyFont="1" applyBorder="1"/>
    <xf numFmtId="0" fontId="11" fillId="0" borderId="31" xfId="0" applyFont="1" applyBorder="1" applyAlignment="1">
      <alignment horizontal="center"/>
    </xf>
    <xf numFmtId="0" fontId="11" fillId="0" borderId="14" xfId="0" applyFont="1" applyBorder="1" applyAlignment="1">
      <alignment horizontal="center"/>
    </xf>
    <xf numFmtId="0" fontId="11" fillId="0" borderId="15" xfId="0" applyFont="1" applyBorder="1" applyAlignment="1">
      <alignment horizontal="center"/>
    </xf>
    <xf numFmtId="0" fontId="13" fillId="0" borderId="1" xfId="0" applyFont="1" applyBorder="1"/>
    <xf numFmtId="0" fontId="15" fillId="0" borderId="4" xfId="0" applyFont="1" applyBorder="1" applyAlignment="1">
      <alignment horizontal="center" vertical="center"/>
    </xf>
    <xf numFmtId="0" fontId="11" fillId="0" borderId="4" xfId="0" applyFont="1" applyBorder="1" applyAlignment="1">
      <alignment horizontal="center" vertical="center" wrapText="1"/>
    </xf>
    <xf numFmtId="0" fontId="14" fillId="0" borderId="4" xfId="0" applyFont="1" applyBorder="1" applyAlignment="1">
      <alignment horizontal="center" vertical="center" wrapText="1"/>
    </xf>
    <xf numFmtId="164" fontId="15" fillId="0" borderId="1" xfId="1" applyFont="1" applyFill="1" applyBorder="1" applyAlignment="1">
      <alignment horizontal="center" vertical="center"/>
    </xf>
    <xf numFmtId="0" fontId="14" fillId="0" borderId="1" xfId="0" applyFont="1" applyBorder="1" applyAlignment="1">
      <alignment horizontal="center" vertical="center"/>
    </xf>
    <xf numFmtId="0" fontId="15" fillId="0" borderId="1" xfId="0" applyFont="1" applyBorder="1"/>
    <xf numFmtId="0" fontId="15" fillId="0" borderId="0" xfId="0" applyFont="1"/>
    <xf numFmtId="0" fontId="14" fillId="0" borderId="0" xfId="0" applyFont="1" applyAlignment="1">
      <alignment horizontal="center" vertical="center"/>
    </xf>
    <xf numFmtId="0" fontId="11" fillId="0"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5" fillId="4" borderId="20" xfId="0" applyFont="1" applyFill="1" applyBorder="1"/>
    <xf numFmtId="0" fontId="5" fillId="0" borderId="21" xfId="0" applyFont="1" applyBorder="1"/>
    <xf numFmtId="0" fontId="5" fillId="0" borderId="22" xfId="0" applyFont="1" applyBorder="1"/>
    <xf numFmtId="0" fontId="5" fillId="0" borderId="23" xfId="0" applyFont="1" applyBorder="1"/>
    <xf numFmtId="0" fontId="5" fillId="0" borderId="24" xfId="0" applyFont="1" applyBorder="1"/>
    <xf numFmtId="0" fontId="5" fillId="2" borderId="19" xfId="0" applyFont="1" applyFill="1" applyBorder="1"/>
    <xf numFmtId="0" fontId="5" fillId="2" borderId="32" xfId="0" applyFont="1" applyFill="1" applyBorder="1"/>
    <xf numFmtId="0" fontId="5" fillId="2" borderId="33" xfId="0" applyFont="1" applyFill="1" applyBorder="1"/>
    <xf numFmtId="0" fontId="5" fillId="0" borderId="34" xfId="0" applyFont="1" applyBorder="1"/>
    <xf numFmtId="0" fontId="5" fillId="0" borderId="35" xfId="0" applyFont="1" applyBorder="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166" fontId="5" fillId="0" borderId="1" xfId="0" applyNumberFormat="1" applyFont="1" applyBorder="1"/>
    <xf numFmtId="166" fontId="7" fillId="0" borderId="1" xfId="0" applyNumberFormat="1" applyFont="1" applyBorder="1"/>
    <xf numFmtId="0" fontId="5" fillId="2" borderId="34" xfId="0" applyFont="1" applyFill="1" applyBorder="1"/>
    <xf numFmtId="0" fontId="5" fillId="2" borderId="0" xfId="0" applyFont="1" applyFill="1"/>
    <xf numFmtId="0" fontId="5" fillId="2" borderId="35" xfId="0" applyFont="1" applyFill="1" applyBorder="1"/>
    <xf numFmtId="0" fontId="5" fillId="0" borderId="25" xfId="0" applyFont="1" applyBorder="1"/>
    <xf numFmtId="0" fontId="5" fillId="0" borderId="14" xfId="0" applyFont="1" applyBorder="1"/>
    <xf numFmtId="166" fontId="7" fillId="0" borderId="14" xfId="0" applyNumberFormat="1" applyFont="1" applyBorder="1"/>
    <xf numFmtId="0" fontId="5" fillId="0" borderId="26" xfId="0" applyFont="1" applyBorder="1"/>
    <xf numFmtId="166" fontId="7" fillId="2" borderId="36" xfId="0" applyNumberFormat="1" applyFont="1" applyFill="1" applyBorder="1"/>
    <xf numFmtId="166" fontId="5" fillId="0" borderId="27" xfId="0" applyNumberFormat="1" applyFont="1" applyBorder="1"/>
    <xf numFmtId="166" fontId="0" fillId="0" borderId="0" xfId="0" applyNumberFormat="1"/>
    <xf numFmtId="0" fontId="3" fillId="0" borderId="0" xfId="0" applyFont="1" applyAlignment="1">
      <alignment horizontal="center" vertical="center" textRotation="90"/>
    </xf>
    <xf numFmtId="0" fontId="3" fillId="0" borderId="0" xfId="0" applyFont="1" applyAlignment="1">
      <alignment horizontal="left" vertical="center"/>
    </xf>
    <xf numFmtId="0" fontId="16" fillId="0" borderId="1" xfId="0" applyFont="1" applyBorder="1"/>
    <xf numFmtId="0" fontId="10" fillId="0" borderId="0" xfId="0" applyFont="1" applyAlignment="1">
      <alignment horizontal="center" vertical="center"/>
    </xf>
    <xf numFmtId="0" fontId="10" fillId="0" borderId="0" xfId="0" applyFont="1" applyAlignment="1">
      <alignment horizontal="center" vertical="center" wrapText="1"/>
    </xf>
    <xf numFmtId="0" fontId="7" fillId="5" borderId="36" xfId="0" applyFont="1" applyFill="1" applyBorder="1" applyAlignment="1">
      <alignment horizontal="left" vertical="center"/>
    </xf>
    <xf numFmtId="0" fontId="3" fillId="0" borderId="1" xfId="0" applyFont="1" applyBorder="1" applyAlignment="1">
      <alignment vertical="center"/>
    </xf>
    <xf numFmtId="0" fontId="0" fillId="0" borderId="0" xfId="0" applyAlignment="1">
      <alignment horizontal="center" vertical="center" wrapText="1"/>
    </xf>
    <xf numFmtId="0" fontId="13" fillId="0" borderId="0" xfId="0" applyFont="1"/>
    <xf numFmtId="0" fontId="16" fillId="0" borderId="1" xfId="0" applyFont="1" applyBorder="1" applyAlignment="1">
      <alignment horizontal="center"/>
    </xf>
    <xf numFmtId="0" fontId="2" fillId="0" borderId="1" xfId="0" applyFont="1" applyBorder="1"/>
    <xf numFmtId="0" fontId="3" fillId="0" borderId="3" xfId="0" applyFont="1" applyBorder="1"/>
    <xf numFmtId="0" fontId="16" fillId="0" borderId="6" xfId="0" applyFont="1" applyBorder="1"/>
    <xf numFmtId="0" fontId="16" fillId="0" borderId="5" xfId="0" applyFont="1" applyBorder="1"/>
    <xf numFmtId="0" fontId="16" fillId="0" borderId="39"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18" xfId="0" applyFont="1" applyBorder="1" applyAlignment="1">
      <alignment horizontal="center" vertical="center" wrapText="1"/>
    </xf>
    <xf numFmtId="0" fontId="3" fillId="0" borderId="6" xfId="0" applyFont="1" applyBorder="1"/>
    <xf numFmtId="0" fontId="3" fillId="0" borderId="5" xfId="0" applyFont="1" applyBorder="1"/>
    <xf numFmtId="0" fontId="3" fillId="0" borderId="39"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3" xfId="0" applyFont="1" applyBorder="1"/>
    <xf numFmtId="0" fontId="5" fillId="0" borderId="1" xfId="0" applyFont="1" applyBorder="1" applyAlignment="1">
      <alignment vertical="center"/>
    </xf>
    <xf numFmtId="0" fontId="5" fillId="0" borderId="1" xfId="0" applyFont="1" applyBorder="1" applyAlignment="1">
      <alignment horizontal="center"/>
    </xf>
    <xf numFmtId="0" fontId="22" fillId="0" borderId="0" xfId="2" applyFont="1" applyAlignment="1">
      <alignment horizontal="left"/>
    </xf>
    <xf numFmtId="0" fontId="19" fillId="0" borderId="0" xfId="2" applyAlignment="1">
      <alignment horizontal="left"/>
    </xf>
    <xf numFmtId="0" fontId="19" fillId="0" borderId="0" xfId="2"/>
    <xf numFmtId="0" fontId="21" fillId="6" borderId="37" xfId="2" applyFont="1" applyFill="1" applyBorder="1" applyAlignment="1">
      <alignment vertical="center" wrapText="1"/>
    </xf>
    <xf numFmtId="0" fontId="21" fillId="6" borderId="0" xfId="2" applyFont="1" applyFill="1" applyAlignment="1">
      <alignment vertical="center" wrapText="1"/>
    </xf>
    <xf numFmtId="0" fontId="24" fillId="0" borderId="0" xfId="2" applyFont="1"/>
    <xf numFmtId="0" fontId="19" fillId="7" borderId="0" xfId="2" applyFill="1"/>
    <xf numFmtId="0" fontId="22" fillId="0" borderId="0" xfId="2" applyFont="1"/>
    <xf numFmtId="0" fontId="21" fillId="8" borderId="37" xfId="2" applyFont="1" applyFill="1" applyBorder="1" applyAlignment="1">
      <alignment vertical="center" wrapText="1"/>
    </xf>
    <xf numFmtId="0" fontId="21" fillId="8" borderId="0" xfId="2" applyFont="1" applyFill="1" applyAlignment="1">
      <alignment vertical="center" wrapText="1"/>
    </xf>
    <xf numFmtId="14" fontId="21" fillId="6" borderId="1" xfId="2" applyNumberFormat="1" applyFont="1" applyFill="1" applyBorder="1" applyAlignment="1">
      <alignment vertical="center" wrapText="1"/>
    </xf>
    <xf numFmtId="0" fontId="21" fillId="9" borderId="37" xfId="2" applyFont="1" applyFill="1" applyBorder="1" applyAlignment="1">
      <alignment vertical="center" wrapText="1"/>
    </xf>
    <xf numFmtId="0" fontId="21" fillId="9" borderId="0" xfId="2" applyFont="1" applyFill="1" applyAlignment="1">
      <alignment vertical="center" wrapText="1"/>
    </xf>
    <xf numFmtId="0" fontId="25" fillId="0" borderId="0" xfId="2" applyFont="1"/>
    <xf numFmtId="0" fontId="19" fillId="0" borderId="40" xfId="2" applyBorder="1"/>
    <xf numFmtId="0" fontId="19" fillId="0" borderId="41" xfId="2" applyBorder="1"/>
    <xf numFmtId="0" fontId="19" fillId="0" borderId="42" xfId="2" applyBorder="1"/>
    <xf numFmtId="0" fontId="19" fillId="0" borderId="38" xfId="2" applyBorder="1"/>
    <xf numFmtId="0" fontId="19" fillId="0" borderId="37" xfId="2" applyBorder="1"/>
    <xf numFmtId="0" fontId="19" fillId="0" borderId="6" xfId="2" applyBorder="1"/>
    <xf numFmtId="0" fontId="22" fillId="0" borderId="19" xfId="2" applyFont="1" applyBorder="1" applyAlignment="1">
      <alignment horizontal="center"/>
    </xf>
    <xf numFmtId="0" fontId="22" fillId="0" borderId="2" xfId="2" applyFont="1" applyBorder="1" applyAlignment="1">
      <alignment horizontal="center"/>
    </xf>
    <xf numFmtId="0" fontId="27" fillId="0" borderId="32" xfId="2" applyFont="1" applyBorder="1" applyAlignment="1">
      <alignment horizontal="center" vertical="center"/>
    </xf>
    <xf numFmtId="0" fontId="22" fillId="0" borderId="34" xfId="2" applyFont="1" applyBorder="1" applyAlignment="1">
      <alignment horizontal="center"/>
    </xf>
    <xf numFmtId="0" fontId="22" fillId="0" borderId="3" xfId="2" applyFont="1" applyBorder="1" applyAlignment="1">
      <alignment horizontal="center"/>
    </xf>
    <xf numFmtId="14" fontId="27" fillId="0" borderId="45" xfId="2" applyNumberFormat="1" applyFont="1" applyBorder="1" applyAlignment="1">
      <alignment horizontal="center" vertical="center"/>
    </xf>
    <xf numFmtId="0" fontId="27" fillId="0" borderId="1" xfId="2" applyFont="1" applyBorder="1" applyAlignment="1">
      <alignment horizontal="center" vertical="center"/>
    </xf>
    <xf numFmtId="0" fontId="27" fillId="0" borderId="44" xfId="2" applyFont="1" applyBorder="1" applyAlignment="1">
      <alignment horizontal="center" vertical="center"/>
    </xf>
    <xf numFmtId="0" fontId="27" fillId="0" borderId="37" xfId="2" applyFont="1" applyBorder="1" applyAlignment="1">
      <alignment horizontal="center" vertical="center"/>
    </xf>
    <xf numFmtId="16" fontId="28" fillId="0" borderId="6" xfId="2" applyNumberFormat="1" applyFont="1" applyBorder="1" applyAlignment="1">
      <alignment vertical="center" textRotation="90"/>
    </xf>
    <xf numFmtId="16" fontId="28" fillId="0" borderId="1" xfId="2" applyNumberFormat="1" applyFont="1" applyBorder="1" applyAlignment="1">
      <alignment vertical="center" textRotation="90"/>
    </xf>
    <xf numFmtId="0" fontId="22" fillId="0" borderId="5" xfId="2" applyFont="1" applyBorder="1" applyAlignment="1">
      <alignment horizontal="center"/>
    </xf>
    <xf numFmtId="0" fontId="22" fillId="0" borderId="4" xfId="2" applyFont="1" applyBorder="1" applyAlignment="1">
      <alignment horizontal="center"/>
    </xf>
    <xf numFmtId="0" fontId="30" fillId="6" borderId="37" xfId="2" applyFont="1" applyFill="1" applyBorder="1" applyAlignment="1">
      <alignment vertical="center" wrapText="1"/>
    </xf>
    <xf numFmtId="14" fontId="30" fillId="6" borderId="37" xfId="2" applyNumberFormat="1" applyFont="1" applyFill="1" applyBorder="1" applyAlignment="1">
      <alignment vertical="center" wrapText="1"/>
    </xf>
    <xf numFmtId="0" fontId="30" fillId="8" borderId="37" xfId="2" applyFont="1" applyFill="1" applyBorder="1" applyAlignment="1">
      <alignment vertical="center" wrapText="1"/>
    </xf>
    <xf numFmtId="14" fontId="30" fillId="9" borderId="43" xfId="2" applyNumberFormat="1" applyFont="1" applyFill="1" applyBorder="1" applyAlignment="1">
      <alignment vertical="center" wrapText="1"/>
    </xf>
    <xf numFmtId="0" fontId="30" fillId="9" borderId="37" xfId="2" applyFont="1" applyFill="1" applyBorder="1" applyAlignment="1">
      <alignment vertical="center" wrapText="1"/>
    </xf>
    <xf numFmtId="0" fontId="30" fillId="9" borderId="44" xfId="2" applyFont="1" applyFill="1" applyBorder="1" applyAlignment="1">
      <alignment vertical="center" wrapText="1"/>
    </xf>
    <xf numFmtId="0" fontId="30" fillId="10" borderId="1" xfId="2" applyFont="1" applyFill="1" applyBorder="1" applyAlignment="1">
      <alignment vertical="center" wrapText="1"/>
    </xf>
    <xf numFmtId="0" fontId="30" fillId="0" borderId="3" xfId="2" applyFont="1" applyBorder="1" applyAlignment="1">
      <alignment horizontal="center"/>
    </xf>
    <xf numFmtId="0" fontId="30" fillId="11" borderId="35" xfId="2" applyFont="1" applyFill="1" applyBorder="1" applyAlignment="1">
      <alignment horizontal="center"/>
    </xf>
    <xf numFmtId="0" fontId="30" fillId="0" borderId="0" xfId="2" applyFont="1"/>
    <xf numFmtId="0" fontId="30" fillId="0" borderId="1" xfId="2" applyFont="1" applyBorder="1" applyAlignment="1">
      <alignment horizontal="center" vertical="center" wrapText="1"/>
    </xf>
    <xf numFmtId="0" fontId="8" fillId="0" borderId="1" xfId="2" applyFont="1" applyBorder="1" applyAlignment="1">
      <alignment horizontal="left" vertical="center" wrapText="1"/>
    </xf>
    <xf numFmtId="14" fontId="30" fillId="0" borderId="45" xfId="2" applyNumberFormat="1" applyFont="1" applyBorder="1" applyAlignment="1">
      <alignment horizontal="center" vertical="center" wrapText="1"/>
    </xf>
    <xf numFmtId="0" fontId="30" fillId="0" borderId="12" xfId="2" applyFont="1" applyBorder="1" applyAlignment="1">
      <alignment horizontal="center" vertical="center" wrapText="1"/>
    </xf>
    <xf numFmtId="0" fontId="29" fillId="0" borderId="5" xfId="2" applyFont="1" applyBorder="1" applyAlignment="1">
      <alignment horizontal="center" vertical="center" wrapText="1"/>
    </xf>
    <xf numFmtId="0" fontId="31" fillId="0" borderId="1" xfId="2" applyFont="1" applyBorder="1" applyAlignment="1">
      <alignment vertical="center" wrapText="1"/>
    </xf>
    <xf numFmtId="0" fontId="19" fillId="0" borderId="3" xfId="2" applyBorder="1" applyAlignment="1">
      <alignment horizontal="center"/>
    </xf>
    <xf numFmtId="9" fontId="19" fillId="11" borderId="35" xfId="2" applyNumberFormat="1" applyFill="1" applyBorder="1" applyAlignment="1">
      <alignment horizontal="center"/>
    </xf>
    <xf numFmtId="0" fontId="27" fillId="6" borderId="0" xfId="2" applyFont="1" applyFill="1"/>
    <xf numFmtId="0" fontId="26" fillId="0" borderId="19" xfId="2" applyFont="1" applyBorder="1"/>
    <xf numFmtId="0" fontId="26" fillId="0" borderId="32" xfId="2" applyFont="1" applyBorder="1"/>
    <xf numFmtId="0" fontId="24" fillId="0" borderId="32" xfId="2" applyFont="1" applyBorder="1"/>
    <xf numFmtId="0" fontId="19" fillId="0" borderId="33" xfId="2" applyBorder="1"/>
    <xf numFmtId="0" fontId="24" fillId="0" borderId="34" xfId="2" applyFont="1" applyBorder="1"/>
    <xf numFmtId="0" fontId="33" fillId="6" borderId="35" xfId="2" applyFont="1" applyFill="1" applyBorder="1"/>
    <xf numFmtId="0" fontId="27" fillId="0" borderId="0" xfId="2" applyFont="1"/>
    <xf numFmtId="0" fontId="19" fillId="0" borderId="35" xfId="2" applyBorder="1"/>
    <xf numFmtId="0" fontId="24" fillId="0" borderId="0" xfId="2" applyFont="1" applyAlignment="1">
      <alignment horizontal="left"/>
    </xf>
    <xf numFmtId="0" fontId="19" fillId="6" borderId="1" xfId="2" applyFill="1" applyBorder="1"/>
    <xf numFmtId="0" fontId="27" fillId="8" borderId="0" xfId="2" applyFont="1" applyFill="1"/>
    <xf numFmtId="0" fontId="19" fillId="8" borderId="0" xfId="2" applyFill="1"/>
    <xf numFmtId="0" fontId="33" fillId="6" borderId="1" xfId="2" applyFont="1" applyFill="1" applyBorder="1"/>
    <xf numFmtId="0" fontId="19" fillId="0" borderId="18" xfId="2" applyBorder="1"/>
    <xf numFmtId="0" fontId="19" fillId="0" borderId="39" xfId="2" applyBorder="1"/>
    <xf numFmtId="0" fontId="8" fillId="0" borderId="5" xfId="2" applyFont="1" applyBorder="1" applyAlignment="1">
      <alignment horizontal="left" vertical="center" wrapText="1"/>
    </xf>
    <xf numFmtId="49" fontId="3" fillId="0" borderId="6" xfId="0" applyNumberFormat="1" applyFont="1" applyBorder="1" applyAlignment="1">
      <alignment vertical="center"/>
    </xf>
    <xf numFmtId="0" fontId="8" fillId="0" borderId="1" xfId="0" applyFont="1" applyBorder="1" applyAlignment="1">
      <alignment horizontal="left" vertical="center"/>
    </xf>
    <xf numFmtId="0" fontId="8" fillId="0" borderId="2" xfId="0" applyFont="1" applyBorder="1" applyAlignment="1">
      <alignment horizontal="center" vertical="center"/>
    </xf>
    <xf numFmtId="0" fontId="8" fillId="0" borderId="4" xfId="0" applyFont="1" applyBorder="1" applyAlignment="1">
      <alignment horizontal="center"/>
    </xf>
    <xf numFmtId="0" fontId="7" fillId="0" borderId="2" xfId="0" applyFont="1" applyBorder="1" applyAlignment="1">
      <alignment vertical="center"/>
    </xf>
    <xf numFmtId="0" fontId="8" fillId="0" borderId="14" xfId="0" applyFont="1" applyBorder="1" applyAlignment="1">
      <alignment horizontal="center" vertical="center"/>
    </xf>
    <xf numFmtId="167" fontId="8" fillId="0" borderId="14" xfId="0" applyNumberFormat="1" applyFont="1" applyBorder="1" applyAlignment="1">
      <alignment horizontal="center" vertical="center"/>
    </xf>
    <xf numFmtId="0" fontId="7" fillId="0" borderId="14" xfId="0" applyFont="1" applyBorder="1" applyAlignment="1">
      <alignment vertical="center"/>
    </xf>
    <xf numFmtId="0" fontId="36" fillId="0" borderId="0" xfId="0" applyFont="1" applyAlignment="1">
      <alignment vertical="center" wrapText="1"/>
    </xf>
    <xf numFmtId="166" fontId="7" fillId="3" borderId="0" xfId="0" applyNumberFormat="1" applyFont="1" applyFill="1" applyAlignment="1">
      <alignment horizontal="center"/>
    </xf>
    <xf numFmtId="0" fontId="7" fillId="0" borderId="0" xfId="0" applyFont="1"/>
    <xf numFmtId="0" fontId="8" fillId="0" borderId="0" xfId="0" applyFont="1"/>
    <xf numFmtId="0" fontId="8" fillId="0" borderId="0" xfId="0" applyFont="1" applyAlignment="1">
      <alignment horizontal="right"/>
    </xf>
    <xf numFmtId="10" fontId="3" fillId="0" borderId="0" xfId="0" applyNumberFormat="1" applyFont="1"/>
    <xf numFmtId="0" fontId="3" fillId="12" borderId="0" xfId="0" applyFont="1" applyFill="1"/>
    <xf numFmtId="168" fontId="3" fillId="12" borderId="0" xfId="3" applyNumberFormat="1" applyFont="1" applyFill="1" applyBorder="1"/>
    <xf numFmtId="10" fontId="3" fillId="12" borderId="0" xfId="0" applyNumberFormat="1" applyFont="1" applyFill="1"/>
    <xf numFmtId="10" fontId="8" fillId="0" borderId="0" xfId="0" applyNumberFormat="1" applyFont="1"/>
    <xf numFmtId="0" fontId="8" fillId="13" borderId="0" xfId="0" applyFont="1" applyFill="1"/>
    <xf numFmtId="0" fontId="3" fillId="0" borderId="0" xfId="0" applyFont="1" applyAlignment="1">
      <alignment horizontal="center"/>
    </xf>
    <xf numFmtId="0" fontId="1" fillId="0" borderId="1" xfId="0" applyFont="1" applyBorder="1"/>
    <xf numFmtId="0" fontId="1" fillId="0" borderId="1" xfId="0" applyFont="1" applyBorder="1" applyAlignment="1">
      <alignment horizontal="center"/>
    </xf>
    <xf numFmtId="0" fontId="1" fillId="0" borderId="33" xfId="0" applyFont="1" applyBorder="1"/>
    <xf numFmtId="0" fontId="1" fillId="0" borderId="5" xfId="0" applyFont="1" applyBorder="1"/>
    <xf numFmtId="0" fontId="4" fillId="0" borderId="1" xfId="4" applyFont="1" applyBorder="1" applyAlignment="1">
      <alignment horizontal="center" vertical="center" wrapText="1"/>
    </xf>
    <xf numFmtId="0" fontId="37" fillId="0" borderId="0" xfId="4"/>
    <xf numFmtId="14" fontId="8" fillId="0" borderId="2" xfId="2" applyNumberFormat="1" applyFont="1" applyBorder="1" applyAlignment="1">
      <alignment horizontal="center" vertical="center" wrapText="1"/>
    </xf>
    <xf numFmtId="0" fontId="5" fillId="0" borderId="5" xfId="0" applyFont="1" applyBorder="1" applyAlignment="1">
      <alignment wrapText="1"/>
    </xf>
    <xf numFmtId="0" fontId="5" fillId="0" borderId="6" xfId="0" applyFont="1" applyBorder="1" applyAlignment="1">
      <alignment wrapText="1"/>
    </xf>
    <xf numFmtId="0" fontId="4" fillId="0" borderId="1" xfId="4" applyFont="1" applyBorder="1" applyAlignment="1">
      <alignment horizontal="center" vertical="center" textRotation="90" wrapText="1"/>
    </xf>
    <xf numFmtId="167" fontId="5" fillId="0" borderId="1" xfId="0" applyNumberFormat="1" applyFont="1" applyBorder="1"/>
    <xf numFmtId="165" fontId="3" fillId="0" borderId="5" xfId="0" applyNumberFormat="1" applyFont="1" applyBorder="1" applyAlignment="1">
      <alignment horizontal="right" vertical="center"/>
    </xf>
    <xf numFmtId="165" fontId="4" fillId="0" borderId="5" xfId="0" applyNumberFormat="1" applyFont="1" applyBorder="1" applyAlignment="1">
      <alignment horizontal="center" vertical="center" wrapText="1"/>
    </xf>
    <xf numFmtId="169" fontId="0" fillId="0" borderId="1" xfId="0" applyNumberFormat="1" applyBorder="1"/>
    <xf numFmtId="0" fontId="8" fillId="0" borderId="14" xfId="0" applyFont="1" applyBorder="1" applyAlignment="1">
      <alignment horizontal="center"/>
    </xf>
    <xf numFmtId="0" fontId="3" fillId="0" borderId="0" xfId="0" applyFont="1" applyAlignment="1">
      <alignment vertical="center"/>
    </xf>
    <xf numFmtId="167" fontId="7" fillId="0" borderId="19" xfId="0" applyNumberFormat="1" applyFont="1" applyBorder="1" applyAlignment="1">
      <alignment vertical="center"/>
    </xf>
    <xf numFmtId="167" fontId="7" fillId="0" borderId="17" xfId="0" applyNumberFormat="1" applyFont="1" applyBorder="1" applyAlignment="1">
      <alignment vertical="center"/>
    </xf>
    <xf numFmtId="0" fontId="3" fillId="0" borderId="18" xfId="0" applyFont="1" applyBorder="1"/>
    <xf numFmtId="0" fontId="3" fillId="0" borderId="19" xfId="0" applyFont="1" applyBorder="1"/>
    <xf numFmtId="0" fontId="3" fillId="2" borderId="16" xfId="0" applyFont="1" applyFill="1" applyBorder="1" applyAlignment="1">
      <alignment horizontal="center" vertical="center" wrapText="1"/>
    </xf>
    <xf numFmtId="0" fontId="3" fillId="0" borderId="1" xfId="0" applyFont="1" applyBorder="1" applyAlignment="1">
      <alignment horizontal="left" vertical="center" wrapText="1"/>
    </xf>
    <xf numFmtId="170" fontId="3" fillId="0" borderId="1" xfId="0" applyNumberFormat="1" applyFont="1" applyBorder="1"/>
    <xf numFmtId="0" fontId="11" fillId="14" borderId="1" xfId="0" applyFont="1" applyFill="1" applyBorder="1" applyAlignment="1">
      <alignment horizontal="center" vertical="center"/>
    </xf>
    <xf numFmtId="0" fontId="16" fillId="15" borderId="1" xfId="0" applyFont="1" applyFill="1" applyBorder="1"/>
    <xf numFmtId="165" fontId="3" fillId="0" borderId="1" xfId="0" applyNumberFormat="1" applyFont="1" applyBorder="1" applyAlignment="1">
      <alignment horizontal="right" vertical="center"/>
    </xf>
    <xf numFmtId="0" fontId="3" fillId="0" borderId="46" xfId="0" applyFont="1" applyBorder="1"/>
    <xf numFmtId="49" fontId="3" fillId="0" borderId="46" xfId="0" applyNumberFormat="1" applyFont="1" applyBorder="1" applyAlignment="1">
      <alignment vertical="center"/>
    </xf>
    <xf numFmtId="49" fontId="3" fillId="0" borderId="46" xfId="0" applyNumberFormat="1" applyFont="1" applyBorder="1" applyAlignment="1">
      <alignment vertical="center" wrapText="1"/>
    </xf>
    <xf numFmtId="0" fontId="3" fillId="0" borderId="46" xfId="0" applyFont="1" applyBorder="1" applyAlignment="1">
      <alignment vertical="center"/>
    </xf>
    <xf numFmtId="165" fontId="3" fillId="0" borderId="46" xfId="0" applyNumberFormat="1" applyFont="1" applyBorder="1" applyAlignment="1">
      <alignment horizontal="right" vertical="center"/>
    </xf>
    <xf numFmtId="0" fontId="5" fillId="0" borderId="5" xfId="0" applyFont="1" applyBorder="1" applyAlignment="1">
      <alignment horizontal="center"/>
    </xf>
    <xf numFmtId="0" fontId="5" fillId="0" borderId="37" xfId="0" applyFont="1" applyBorder="1" applyAlignment="1">
      <alignment horizontal="center"/>
    </xf>
    <xf numFmtId="0" fontId="5" fillId="0" borderId="6" xfId="0" applyFont="1" applyBorder="1" applyAlignment="1">
      <alignment horizont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5" xfId="0" applyFont="1" applyBorder="1" applyAlignment="1">
      <alignment horizontal="right"/>
    </xf>
    <xf numFmtId="0" fontId="5" fillId="0" borderId="37" xfId="0" applyFont="1" applyBorder="1" applyAlignment="1">
      <alignment horizontal="right"/>
    </xf>
    <xf numFmtId="0" fontId="5" fillId="0" borderId="6" xfId="0" applyFont="1" applyBorder="1" applyAlignment="1">
      <alignment horizontal="right"/>
    </xf>
    <xf numFmtId="0" fontId="3" fillId="0" borderId="1" xfId="0" applyFont="1" applyBorder="1" applyAlignment="1">
      <alignment horizontal="center"/>
    </xf>
    <xf numFmtId="0" fontId="39" fillId="3" borderId="14" xfId="0" applyFont="1" applyFill="1" applyBorder="1" applyAlignment="1">
      <alignment horizontal="center" vertical="center"/>
    </xf>
    <xf numFmtId="0" fontId="40" fillId="3" borderId="0" xfId="0" applyFont="1" applyFill="1"/>
    <xf numFmtId="167" fontId="7" fillId="8" borderId="17" xfId="0" applyNumberFormat="1" applyFont="1" applyFill="1" applyBorder="1" applyAlignment="1">
      <alignment vertical="center"/>
    </xf>
    <xf numFmtId="0" fontId="3" fillId="8" borderId="0" xfId="0" applyFont="1" applyFill="1" applyAlignment="1">
      <alignment horizontal="center" vertical="center" wrapText="1"/>
    </xf>
    <xf numFmtId="0" fontId="8" fillId="0" borderId="8" xfId="0" applyFont="1" applyBorder="1" applyAlignment="1">
      <alignment horizontal="center" vertical="center"/>
    </xf>
    <xf numFmtId="0" fontId="8" fillId="0" borderId="3"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xf>
    <xf numFmtId="0" fontId="8" fillId="0" borderId="13" xfId="0" applyFont="1" applyBorder="1" applyAlignment="1">
      <alignment horizontal="center" vertical="center"/>
    </xf>
    <xf numFmtId="49" fontId="3" fillId="0" borderId="5" xfId="0" applyNumberFormat="1" applyFont="1" applyBorder="1" applyAlignment="1">
      <alignment horizontal="left" vertical="center" wrapText="1"/>
    </xf>
    <xf numFmtId="49" fontId="3" fillId="0" borderId="37" xfId="0" applyNumberFormat="1" applyFont="1" applyBorder="1" applyAlignment="1">
      <alignment horizontal="left" vertical="center" wrapText="1"/>
    </xf>
    <xf numFmtId="49" fontId="3" fillId="0" borderId="6" xfId="0" applyNumberFormat="1" applyFont="1" applyBorder="1" applyAlignment="1">
      <alignment horizontal="left" vertical="center" wrapText="1"/>
    </xf>
    <xf numFmtId="0" fontId="18" fillId="0" borderId="1" xfId="0" applyFont="1" applyBorder="1" applyAlignment="1">
      <alignment horizontal="left" vertical="top" wrapText="1"/>
    </xf>
    <xf numFmtId="0" fontId="3" fillId="0" borderId="0" xfId="0" applyFont="1" applyAlignment="1">
      <alignment horizontal="left" vertical="center"/>
    </xf>
    <xf numFmtId="0" fontId="3" fillId="0" borderId="1" xfId="0" applyFont="1" applyBorder="1" applyAlignment="1">
      <alignment horizontal="left"/>
    </xf>
    <xf numFmtId="0" fontId="4" fillId="0" borderId="1" xfId="0" applyFont="1" applyBorder="1" applyAlignment="1">
      <alignment horizontal="center" vertical="center"/>
    </xf>
    <xf numFmtId="0" fontId="3" fillId="0" borderId="2" xfId="0" applyFont="1" applyBorder="1" applyAlignment="1">
      <alignment horizontal="left"/>
    </xf>
    <xf numFmtId="0" fontId="7" fillId="5" borderId="28" xfId="0" applyFont="1" applyFill="1" applyBorder="1" applyAlignment="1">
      <alignment horizontal="left" vertical="center"/>
    </xf>
    <xf numFmtId="0" fontId="7" fillId="5" borderId="29" xfId="0" applyFont="1" applyFill="1" applyBorder="1" applyAlignment="1">
      <alignment horizontal="left" vertical="center"/>
    </xf>
    <xf numFmtId="0" fontId="3" fillId="0" borderId="1" xfId="0" applyFont="1" applyBorder="1" applyAlignment="1">
      <alignment horizontal="center"/>
    </xf>
    <xf numFmtId="0" fontId="3" fillId="0" borderId="4" xfId="0" applyFont="1" applyBorder="1" applyAlignment="1">
      <alignment horizontal="center"/>
    </xf>
    <xf numFmtId="0" fontId="3" fillId="0" borderId="4" xfId="0" applyFont="1" applyBorder="1" applyAlignment="1">
      <alignment horizontal="left" wrapText="1"/>
    </xf>
    <xf numFmtId="0" fontId="36"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6" xfId="0" applyFont="1" applyBorder="1" applyAlignment="1">
      <alignment horizontal="center" vertical="center" wrapText="1"/>
    </xf>
    <xf numFmtId="0" fontId="7" fillId="0" borderId="1" xfId="0" applyFont="1" applyBorder="1" applyAlignment="1">
      <alignment horizontal="center" vertical="center"/>
    </xf>
    <xf numFmtId="0" fontId="4" fillId="0" borderId="5" xfId="0" applyFont="1" applyBorder="1" applyAlignment="1">
      <alignment horizontal="center" vertical="center"/>
    </xf>
    <xf numFmtId="0" fontId="4" fillId="0" borderId="37" xfId="0" applyFont="1" applyBorder="1" applyAlignment="1">
      <alignment horizontal="center" vertical="center"/>
    </xf>
    <xf numFmtId="0" fontId="4" fillId="0" borderId="6" xfId="0" applyFont="1" applyBorder="1" applyAlignment="1">
      <alignment horizontal="center" vertical="center"/>
    </xf>
    <xf numFmtId="0" fontId="7" fillId="0" borderId="5" xfId="0" applyFont="1" applyBorder="1" applyAlignment="1">
      <alignment horizontal="center" vertical="center"/>
    </xf>
    <xf numFmtId="0" fontId="7" fillId="0" borderId="37" xfId="0" applyFont="1" applyBorder="1" applyAlignment="1">
      <alignment horizontal="center" vertical="center"/>
    </xf>
    <xf numFmtId="0" fontId="7" fillId="0" borderId="6" xfId="0" applyFont="1" applyBorder="1" applyAlignment="1">
      <alignment horizontal="center" vertical="center"/>
    </xf>
    <xf numFmtId="0" fontId="3" fillId="3" borderId="32" xfId="0" applyFont="1" applyFill="1" applyBorder="1" applyAlignment="1">
      <alignment horizontal="right"/>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5" fillId="0" borderId="21" xfId="0" applyFont="1" applyBorder="1" applyAlignment="1">
      <alignment horizontal="center"/>
    </xf>
    <xf numFmtId="0" fontId="5" fillId="0" borderId="26" xfId="0" applyFont="1" applyBorder="1" applyAlignment="1">
      <alignment horizontal="center"/>
    </xf>
    <xf numFmtId="0" fontId="17" fillId="0" borderId="38" xfId="0" applyFont="1" applyBorder="1" applyAlignment="1">
      <alignment horizontal="center" vertical="center"/>
    </xf>
    <xf numFmtId="0" fontId="11" fillId="0" borderId="20" xfId="0" applyFont="1" applyBorder="1" applyAlignment="1">
      <alignment horizontal="center" vertical="center" wrapText="1"/>
    </xf>
    <xf numFmtId="0" fontId="11" fillId="0" borderId="22"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27" xfId="0" applyFont="1" applyBorder="1" applyAlignment="1">
      <alignment horizontal="center" vertical="center" wrapText="1"/>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0" borderId="0" xfId="0" applyFont="1" applyAlignment="1">
      <alignment horizontal="center" vertical="center"/>
    </xf>
    <xf numFmtId="0" fontId="12" fillId="0" borderId="24" xfId="0" applyFont="1" applyBorder="1" applyAlignment="1">
      <alignment horizontal="center" vertical="center"/>
    </xf>
    <xf numFmtId="0" fontId="12" fillId="0" borderId="25" xfId="0" applyFont="1" applyBorder="1" applyAlignment="1">
      <alignment horizontal="center" vertical="center"/>
    </xf>
    <xf numFmtId="0" fontId="12" fillId="0" borderId="26" xfId="0" applyFont="1" applyBorder="1" applyAlignment="1">
      <alignment horizontal="center" vertical="center"/>
    </xf>
    <xf numFmtId="0" fontId="12" fillId="0" borderId="27" xfId="0" applyFont="1" applyBorder="1" applyAlignment="1">
      <alignment horizontal="center" vertical="center"/>
    </xf>
    <xf numFmtId="0" fontId="14" fillId="0" borderId="28" xfId="0" applyFont="1" applyBorder="1" applyAlignment="1">
      <alignment horizontal="center" vertical="center"/>
    </xf>
    <xf numFmtId="0" fontId="14" fillId="0" borderId="29" xfId="0" applyFont="1" applyBorder="1" applyAlignment="1">
      <alignment horizontal="center" vertical="center"/>
    </xf>
    <xf numFmtId="0" fontId="14" fillId="0" borderId="30" xfId="0" applyFont="1" applyBorder="1" applyAlignment="1">
      <alignment horizontal="center" vertical="center"/>
    </xf>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23" xfId="0" applyFont="1" applyBorder="1" applyAlignment="1">
      <alignment horizontal="center" vertical="center" wrapText="1"/>
    </xf>
    <xf numFmtId="0" fontId="11" fillId="0" borderId="24" xfId="0" applyFont="1" applyBorder="1" applyAlignment="1">
      <alignment horizontal="center" vertical="center" wrapText="1"/>
    </xf>
    <xf numFmtId="0" fontId="30" fillId="6" borderId="5" xfId="2" applyFont="1" applyFill="1" applyBorder="1" applyAlignment="1">
      <alignment horizontal="center" vertical="center" wrapText="1"/>
    </xf>
    <xf numFmtId="0" fontId="30" fillId="6" borderId="37" xfId="2" applyFont="1" applyFill="1" applyBorder="1" applyAlignment="1">
      <alignment horizontal="center" vertical="center" wrapText="1"/>
    </xf>
    <xf numFmtId="0" fontId="30" fillId="0" borderId="2" xfId="2" applyFont="1" applyBorder="1" applyAlignment="1">
      <alignment horizontal="center" vertical="center" wrapText="1"/>
    </xf>
    <xf numFmtId="0" fontId="30" fillId="0" borderId="3" xfId="2" applyFont="1" applyBorder="1" applyAlignment="1">
      <alignment horizontal="center" vertical="center" wrapText="1"/>
    </xf>
    <xf numFmtId="0" fontId="30" fillId="0" borderId="4" xfId="2" applyFont="1" applyBorder="1" applyAlignment="1">
      <alignment horizontal="center" vertical="center" wrapText="1"/>
    </xf>
    <xf numFmtId="0" fontId="25" fillId="0" borderId="0" xfId="2" applyFont="1" applyAlignment="1">
      <alignment horizontal="center"/>
    </xf>
    <xf numFmtId="0" fontId="26" fillId="0" borderId="0" xfId="2" applyFont="1" applyAlignment="1">
      <alignment horizontal="center"/>
    </xf>
    <xf numFmtId="0" fontId="27" fillId="0" borderId="32" xfId="2" applyFont="1" applyBorder="1" applyAlignment="1">
      <alignment horizontal="center" vertical="center"/>
    </xf>
    <xf numFmtId="0" fontId="27" fillId="0" borderId="33" xfId="2" applyFont="1" applyBorder="1" applyAlignment="1">
      <alignment horizontal="center" vertical="center"/>
    </xf>
    <xf numFmtId="0" fontId="27" fillId="0" borderId="1" xfId="2" applyFont="1" applyBorder="1" applyAlignment="1">
      <alignment horizontal="center" vertical="center" wrapText="1"/>
    </xf>
    <xf numFmtId="0" fontId="27" fillId="0" borderId="1" xfId="2" applyFont="1" applyBorder="1" applyAlignment="1">
      <alignment horizontal="center" wrapText="1"/>
    </xf>
    <xf numFmtId="0" fontId="29" fillId="0" borderId="1" xfId="2" applyFont="1" applyBorder="1" applyAlignment="1">
      <alignment horizontal="center" vertical="center" wrapText="1"/>
    </xf>
    <xf numFmtId="0" fontId="29" fillId="0" borderId="1" xfId="2" applyFont="1" applyBorder="1" applyAlignment="1">
      <alignment horizontal="center" wrapText="1"/>
    </xf>
    <xf numFmtId="14" fontId="24" fillId="0" borderId="1" xfId="2" applyNumberFormat="1" applyFont="1" applyBorder="1" applyAlignment="1">
      <alignment horizontal="center" vertical="center" wrapText="1"/>
    </xf>
    <xf numFmtId="14" fontId="24" fillId="0" borderId="1" xfId="2" applyNumberFormat="1" applyFont="1" applyBorder="1" applyAlignment="1">
      <alignment horizontal="center" wrapText="1"/>
    </xf>
    <xf numFmtId="0" fontId="24" fillId="0" borderId="1" xfId="2" applyFont="1" applyBorder="1" applyAlignment="1">
      <alignment horizontal="center" vertical="center" wrapText="1"/>
    </xf>
    <xf numFmtId="0" fontId="24" fillId="0" borderId="1" xfId="2" applyFont="1" applyBorder="1" applyAlignment="1">
      <alignment horizontal="center" wrapText="1"/>
    </xf>
    <xf numFmtId="0" fontId="30" fillId="0" borderId="5" xfId="2" applyFont="1" applyBorder="1" applyAlignment="1">
      <alignment horizontal="center" vertical="center" wrapText="1"/>
    </xf>
    <xf numFmtId="0" fontId="30" fillId="0" borderId="5" xfId="2" applyFont="1" applyBorder="1" applyAlignment="1">
      <alignment horizontal="center" wrapText="1"/>
    </xf>
    <xf numFmtId="0" fontId="27" fillId="0" borderId="43" xfId="2" applyFont="1" applyBorder="1" applyAlignment="1">
      <alignment horizontal="center" vertical="center"/>
    </xf>
    <xf numFmtId="0" fontId="27" fillId="0" borderId="37" xfId="2" applyFont="1" applyBorder="1" applyAlignment="1">
      <alignment horizontal="center" vertical="center"/>
    </xf>
    <xf numFmtId="0" fontId="27" fillId="0" borderId="44" xfId="2" applyFont="1" applyBorder="1" applyAlignment="1">
      <alignment horizontal="center" vertical="center"/>
    </xf>
    <xf numFmtId="0" fontId="23" fillId="6" borderId="1" xfId="2" applyFont="1" applyFill="1" applyBorder="1" applyAlignment="1">
      <alignment horizontal="left"/>
    </xf>
    <xf numFmtId="0" fontId="20" fillId="0" borderId="1" xfId="2" applyFont="1" applyBorder="1" applyAlignment="1">
      <alignment horizontal="right"/>
    </xf>
    <xf numFmtId="0" fontId="21" fillId="6" borderId="1" xfId="2" applyFont="1" applyFill="1" applyBorder="1" applyAlignment="1">
      <alignment horizontal="center" vertical="center" wrapText="1"/>
    </xf>
    <xf numFmtId="0" fontId="21" fillId="6" borderId="0" xfId="2" applyFont="1" applyFill="1" applyAlignment="1">
      <alignment horizontal="center" vertical="center" wrapText="1"/>
    </xf>
    <xf numFmtId="0" fontId="28" fillId="0" borderId="1" xfId="2" applyFont="1" applyBorder="1" applyAlignment="1">
      <alignment horizontal="center" vertical="center" wrapText="1"/>
    </xf>
    <xf numFmtId="0" fontId="28" fillId="0" borderId="1" xfId="2" applyFont="1" applyBorder="1" applyAlignment="1">
      <alignment horizontal="center" wrapText="1"/>
    </xf>
    <xf numFmtId="0" fontId="19" fillId="0" borderId="32" xfId="2" applyBorder="1" applyAlignment="1">
      <alignment horizontal="center"/>
    </xf>
    <xf numFmtId="0" fontId="20" fillId="0" borderId="32" xfId="2" applyFont="1" applyBorder="1" applyAlignment="1">
      <alignment horizontal="center"/>
    </xf>
    <xf numFmtId="0" fontId="20" fillId="0" borderId="33" xfId="2" applyFont="1" applyBorder="1" applyAlignment="1">
      <alignment horizontal="center"/>
    </xf>
  </cellXfs>
  <cellStyles count="5">
    <cellStyle name="Обычный" xfId="0" builtinId="0"/>
    <cellStyle name="Обычный 2" xfId="2" xr:uid="{00000000-0005-0000-0000-000001000000}"/>
    <cellStyle name="Обычный 3" xfId="4" xr:uid="{00000000-0005-0000-0000-000002000000}"/>
    <cellStyle name="Процентный" xfId="3" builtinId="5"/>
    <cellStyle name="Финансовый" xfId="1" builtinId="3"/>
  </cellStyles>
  <dxfs count="91">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2"/>
        <color theme="1"/>
        <name val="Arial"/>
        <scheme val="none"/>
      </font>
      <numFmt numFmtId="0" formatCode="Genera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Arial"/>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Arial"/>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sz val="11"/>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thin">
          <color indexed="64"/>
        </bottom>
      </border>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charset val="204"/>
        <scheme val="none"/>
      </font>
    </dxf>
    <dxf>
      <font>
        <b val="0"/>
        <i val="0"/>
        <strike val="0"/>
        <condense val="0"/>
        <extend val="0"/>
        <outline val="0"/>
        <shadow val="0"/>
        <u val="none"/>
        <vertAlign val="baseline"/>
        <sz val="12"/>
        <color theme="1"/>
        <name val="Arial"/>
        <family val="2"/>
        <charset val="204"/>
        <scheme val="none"/>
      </font>
    </dxf>
    <dxf>
      <font>
        <b val="0"/>
        <i val="0"/>
        <strike val="0"/>
        <condense val="0"/>
        <extend val="0"/>
        <outline val="0"/>
        <shadow val="0"/>
        <u val="none"/>
        <vertAlign val="baseline"/>
        <sz val="12"/>
        <color theme="1"/>
        <name val="Arial"/>
        <family val="2"/>
        <charset val="204"/>
        <scheme val="none"/>
      </font>
    </dxf>
    <dxf>
      <font>
        <b val="0"/>
        <i val="0"/>
        <strike val="0"/>
        <condense val="0"/>
        <extend val="0"/>
        <outline val="0"/>
        <shadow val="0"/>
        <u val="none"/>
        <vertAlign val="baseline"/>
        <sz val="12"/>
        <color theme="1"/>
        <name val="Arial"/>
        <family val="2"/>
        <charset val="204"/>
        <scheme val="none"/>
      </font>
    </dxf>
    <dxf>
      <font>
        <b val="0"/>
        <i val="0"/>
        <strike val="0"/>
        <condense val="0"/>
        <extend val="0"/>
        <outline val="0"/>
        <shadow val="0"/>
        <u val="none"/>
        <vertAlign val="baseline"/>
        <sz val="12"/>
        <color theme="1"/>
        <name val="Arial"/>
        <family val="2"/>
        <charset val="204"/>
        <scheme val="none"/>
      </font>
      <numFmt numFmtId="166" formatCode="#,##0.00\ &quot;₽&quot;"/>
    </dxf>
    <dxf>
      <font>
        <b val="0"/>
        <i val="0"/>
        <strike val="0"/>
        <condense val="0"/>
        <extend val="0"/>
        <outline val="0"/>
        <shadow val="0"/>
        <u val="none"/>
        <vertAlign val="baseline"/>
        <sz val="12"/>
        <color theme="1"/>
        <name val="Arial"/>
        <family val="2"/>
        <charset val="204"/>
        <scheme val="none"/>
      </font>
    </dxf>
    <dxf>
      <font>
        <b val="0"/>
        <i val="0"/>
        <strike val="0"/>
        <condense val="0"/>
        <extend val="0"/>
        <outline val="0"/>
        <shadow val="0"/>
        <u val="none"/>
        <vertAlign val="baseline"/>
        <sz val="12"/>
        <color theme="1"/>
        <name val="Arial"/>
        <family val="2"/>
        <charset val="204"/>
        <scheme val="none"/>
      </font>
    </dxf>
    <dxf>
      <font>
        <b val="0"/>
        <i val="0"/>
        <strike val="0"/>
        <condense val="0"/>
        <extend val="0"/>
        <outline val="0"/>
        <shadow val="0"/>
        <u val="none"/>
        <vertAlign val="baseline"/>
        <sz val="12"/>
        <color theme="1"/>
        <name val="Arial"/>
        <family val="2"/>
        <charset val="204"/>
        <scheme val="none"/>
      </font>
    </dxf>
    <dxf>
      <font>
        <b val="0"/>
        <i val="0"/>
        <strike val="0"/>
        <condense val="0"/>
        <extend val="0"/>
        <outline val="0"/>
        <shadow val="0"/>
        <u val="none"/>
        <vertAlign val="baseline"/>
        <sz val="12"/>
        <color theme="1"/>
        <name val="Arial"/>
        <family val="2"/>
        <charset val="204"/>
        <scheme val="none"/>
      </font>
    </dxf>
    <dxf>
      <font>
        <b val="0"/>
        <i val="0"/>
        <strike val="0"/>
        <condense val="0"/>
        <extend val="0"/>
        <outline val="0"/>
        <shadow val="0"/>
        <u val="none"/>
        <vertAlign val="baseline"/>
        <sz val="12"/>
        <color theme="1"/>
        <name val="Arial"/>
        <family val="2"/>
        <charset val="204"/>
        <scheme val="none"/>
      </font>
    </dxf>
    <dxf>
      <font>
        <b val="0"/>
        <i val="0"/>
        <strike val="0"/>
        <condense val="0"/>
        <extend val="0"/>
        <outline val="0"/>
        <shadow val="0"/>
        <u val="none"/>
        <vertAlign val="baseline"/>
        <sz val="12"/>
        <color theme="1"/>
        <name val="Arial"/>
        <family val="2"/>
        <charset val="204"/>
        <scheme val="none"/>
      </font>
    </dxf>
    <dxf>
      <font>
        <b val="0"/>
        <i val="0"/>
        <strike val="0"/>
        <condense val="0"/>
        <extend val="0"/>
        <outline val="0"/>
        <shadow val="0"/>
        <u val="none"/>
        <vertAlign val="baseline"/>
        <sz val="12"/>
        <color theme="1"/>
        <name val="Arial"/>
        <family val="2"/>
        <charset val="204"/>
        <scheme val="none"/>
      </font>
    </dxf>
  </dxfs>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197260382801042E-2"/>
          <c:y val="0.12896016289953299"/>
          <c:w val="0.93742477755190645"/>
          <c:h val="0.73236027699927342"/>
        </c:manualLayout>
      </c:layout>
      <c:barChart>
        <c:barDir val="col"/>
        <c:grouping val="clustered"/>
        <c:varyColors val="0"/>
        <c:ser>
          <c:idx val="0"/>
          <c:order val="0"/>
          <c:tx>
            <c:strRef>
              <c:f>Расчет!$N$3:$N$4</c:f>
              <c:strCache>
                <c:ptCount val="2"/>
                <c:pt idx="0">
                  <c:v>размер фонда</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Расчет!$M$5:$M$10</c:f>
              <c:strCache>
                <c:ptCount val="6"/>
                <c:pt idx="0">
                  <c:v>Услуги</c:v>
                </c:pt>
                <c:pt idx="1">
                  <c:v>Материальная часть</c:v>
                </c:pt>
                <c:pt idx="2">
                  <c:v>0</c:v>
                </c:pt>
                <c:pt idx="3">
                  <c:v>Расходы на снабжение</c:v>
                </c:pt>
                <c:pt idx="4">
                  <c:v>Маржа на работу</c:v>
                </c:pt>
                <c:pt idx="5">
                  <c:v>Наценка торговая</c:v>
                </c:pt>
              </c:strCache>
            </c:strRef>
          </c:cat>
          <c:val>
            <c:numRef>
              <c:f>Расчет!$N$5:$N$10</c:f>
              <c:numCache>
                <c:formatCode>0.00%</c:formatCode>
                <c:ptCount val="6"/>
                <c:pt idx="0">
                  <c:v>0.191</c:v>
                </c:pt>
                <c:pt idx="1">
                  <c:v>0.30599999999999999</c:v>
                </c:pt>
                <c:pt idx="2">
                  <c:v>0.11599999999999999</c:v>
                </c:pt>
                <c:pt idx="3">
                  <c:v>4.3999999999999997E-2</c:v>
                </c:pt>
                <c:pt idx="4">
                  <c:v>4.9999999999999996E-2</c:v>
                </c:pt>
                <c:pt idx="5">
                  <c:v>0.29300000000000004</c:v>
                </c:pt>
              </c:numCache>
            </c:numRef>
          </c:val>
          <c:extLst>
            <c:ext xmlns:c16="http://schemas.microsoft.com/office/drawing/2014/chart" uri="{C3380CC4-5D6E-409C-BE32-E72D297353CC}">
              <c16:uniqueId val="{00000000-BD20-437E-ABAA-70938ECBB8D1}"/>
            </c:ext>
          </c:extLst>
        </c:ser>
        <c:ser>
          <c:idx val="1"/>
          <c:order val="1"/>
          <c:tx>
            <c:strRef>
              <c:f>Расчет!$O$3:$O$4</c:f>
              <c:strCache>
                <c:ptCount val="2"/>
                <c:pt idx="0">
                  <c:v>получено из сметы</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Расчет!$M$5:$M$10</c:f>
              <c:strCache>
                <c:ptCount val="6"/>
                <c:pt idx="0">
                  <c:v>Услуги</c:v>
                </c:pt>
                <c:pt idx="1">
                  <c:v>Материальная часть</c:v>
                </c:pt>
                <c:pt idx="2">
                  <c:v>0</c:v>
                </c:pt>
                <c:pt idx="3">
                  <c:v>Расходы на снабжение</c:v>
                </c:pt>
                <c:pt idx="4">
                  <c:v>Маржа на работу</c:v>
                </c:pt>
                <c:pt idx="5">
                  <c:v>Наценка торговая</c:v>
                </c:pt>
              </c:strCache>
            </c:strRef>
          </c:cat>
          <c:val>
            <c:numRef>
              <c:f>Расчет!$O$5:$O$10</c:f>
              <c:numCache>
                <c:formatCode>0.00%</c:formatCode>
                <c:ptCount val="6"/>
                <c:pt idx="0">
                  <c:v>0.16355641274248964</c:v>
                </c:pt>
                <c:pt idx="1">
                  <c:v>0.10610946711529294</c:v>
                </c:pt>
                <c:pt idx="2">
                  <c:v>0.2884932700988358</c:v>
                </c:pt>
                <c:pt idx="3">
                  <c:v>2.6966587985778261E-2</c:v>
                </c:pt>
                <c:pt idx="4">
                  <c:v>8.6547981029650736E-2</c:v>
                </c:pt>
                <c:pt idx="5">
                  <c:v>0.20150211569161419</c:v>
                </c:pt>
              </c:numCache>
            </c:numRef>
          </c:val>
          <c:extLst>
            <c:ext xmlns:c16="http://schemas.microsoft.com/office/drawing/2014/chart" uri="{C3380CC4-5D6E-409C-BE32-E72D297353CC}">
              <c16:uniqueId val="{00000001-BD20-437E-ABAA-70938ECBB8D1}"/>
            </c:ext>
          </c:extLst>
        </c:ser>
        <c:dLbls>
          <c:dLblPos val="outEnd"/>
          <c:showLegendKey val="0"/>
          <c:showVal val="1"/>
          <c:showCatName val="0"/>
          <c:showSerName val="0"/>
          <c:showPercent val="0"/>
          <c:showBubbleSize val="0"/>
        </c:dLbls>
        <c:gapWidth val="164"/>
        <c:overlap val="-22"/>
        <c:axId val="-1254239376"/>
        <c:axId val="-1254243184"/>
      </c:barChart>
      <c:catAx>
        <c:axId val="-125423937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254243184"/>
        <c:crosses val="autoZero"/>
        <c:auto val="1"/>
        <c:lblAlgn val="ctr"/>
        <c:lblOffset val="100"/>
        <c:noMultiLvlLbl val="0"/>
      </c:catAx>
      <c:valAx>
        <c:axId val="-1254243184"/>
        <c:scaling>
          <c:orientation val="minMax"/>
        </c:scaling>
        <c:delete val="1"/>
        <c:axPos val="l"/>
        <c:majorGridlines>
          <c:spPr>
            <a:ln>
              <a:solidFill>
                <a:schemeClr val="tx1">
                  <a:lumMod val="15000"/>
                  <a:lumOff val="85000"/>
                </a:schemeClr>
              </a:solidFill>
            </a:ln>
            <a:effectLst/>
          </c:spPr>
        </c:majorGridlines>
        <c:minorGridlines>
          <c:spPr>
            <a:ln>
              <a:solidFill>
                <a:schemeClr val="tx1">
                  <a:lumMod val="5000"/>
                  <a:lumOff val="95000"/>
                </a:schemeClr>
              </a:solidFill>
            </a:ln>
            <a:effectLst/>
          </c:spPr>
        </c:minorGridlines>
        <c:numFmt formatCode="0.00%" sourceLinked="1"/>
        <c:majorTickMark val="none"/>
        <c:minorTickMark val="none"/>
        <c:tickLblPos val="nextTo"/>
        <c:crossAx val="-1254239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png"/><Relationship Id="rId2" Type="http://schemas.openxmlformats.org/officeDocument/2006/relationships/image" Target="../media/image1.png"/><Relationship Id="rId16" Type="http://schemas.openxmlformats.org/officeDocument/2006/relationships/image" Target="../media/image15.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image" Target="../media/image1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3.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12</xdr:col>
      <xdr:colOff>1</xdr:colOff>
      <xdr:row>2</xdr:row>
      <xdr:rowOff>449407</xdr:rowOff>
    </xdr:from>
    <xdr:to>
      <xdr:col>18</xdr:col>
      <xdr:colOff>339438</xdr:colOff>
      <xdr:row>10</xdr:row>
      <xdr:rowOff>47626</xdr:rowOff>
    </xdr:to>
    <xdr:graphicFrame macro="">
      <xdr:nvGraphicFramePr>
        <xdr:cNvPr id="3" name="Диаграмма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63500</xdr:colOff>
      <xdr:row>2</xdr:row>
      <xdr:rowOff>63500</xdr:rowOff>
    </xdr:from>
    <xdr:to>
      <xdr:col>3</xdr:col>
      <xdr:colOff>578636</xdr:colOff>
      <xdr:row>2</xdr:row>
      <xdr:rowOff>2317750</xdr:rowOff>
    </xdr:to>
    <xdr:pic>
      <xdr:nvPicPr>
        <xdr:cNvPr id="2" name="Рисунок 1">
          <a:extLst>
            <a:ext uri="{FF2B5EF4-FFF2-40B4-BE49-F238E27FC236}">
              <a16:creationId xmlns:a16="http://schemas.microsoft.com/office/drawing/2014/main" id="{00000000-0008-0000-0100-00000200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9725" y="606425"/>
          <a:ext cx="3079750" cy="2254250"/>
        </a:xfrm>
        <a:prstGeom prst="rect">
          <a:avLst/>
        </a:prstGeom>
      </xdr:spPr>
    </xdr:pic>
    <xdr:clientData/>
  </xdr:twoCellAnchor>
  <xdr:twoCellAnchor editAs="oneCell">
    <xdr:from>
      <xdr:col>2</xdr:col>
      <xdr:colOff>63500</xdr:colOff>
      <xdr:row>117</xdr:row>
      <xdr:rowOff>63500</xdr:rowOff>
    </xdr:from>
    <xdr:to>
      <xdr:col>2</xdr:col>
      <xdr:colOff>1568450</xdr:colOff>
      <xdr:row>118</xdr:row>
      <xdr:rowOff>9525</xdr:rowOff>
    </xdr:to>
    <xdr:pic>
      <xdr:nvPicPr>
        <xdr:cNvPr id="4" name="Рисунок 3">
          <a:extLst>
            <a:ext uri="{FF2B5EF4-FFF2-40B4-BE49-F238E27FC236}">
              <a16:creationId xmlns:a16="http://schemas.microsoft.com/office/drawing/2014/main" id="{00000000-0008-0000-01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06450" y="23542625"/>
          <a:ext cx="1517650" cy="755650"/>
        </a:xfrm>
        <a:prstGeom prst="rect">
          <a:avLst/>
        </a:prstGeom>
      </xdr:spPr>
    </xdr:pic>
    <xdr:clientData/>
  </xdr:twoCellAnchor>
  <xdr:twoCellAnchor editAs="oneCell">
    <xdr:from>
      <xdr:col>2</xdr:col>
      <xdr:colOff>63500</xdr:colOff>
      <xdr:row>126</xdr:row>
      <xdr:rowOff>63500</xdr:rowOff>
    </xdr:from>
    <xdr:to>
      <xdr:col>2</xdr:col>
      <xdr:colOff>1568450</xdr:colOff>
      <xdr:row>127</xdr:row>
      <xdr:rowOff>9525</xdr:rowOff>
    </xdr:to>
    <xdr:pic>
      <xdr:nvPicPr>
        <xdr:cNvPr id="5" name="Рисунок 4">
          <a:extLst>
            <a:ext uri="{FF2B5EF4-FFF2-40B4-BE49-F238E27FC236}">
              <a16:creationId xmlns:a16="http://schemas.microsoft.com/office/drawing/2014/main" id="{00000000-0008-0000-0100-000005000000}"/>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06450" y="24752300"/>
          <a:ext cx="1517650" cy="831850"/>
        </a:xfrm>
        <a:prstGeom prst="rect">
          <a:avLst/>
        </a:prstGeom>
      </xdr:spPr>
    </xdr:pic>
    <xdr:clientData/>
  </xdr:twoCellAnchor>
  <xdr:twoCellAnchor editAs="oneCell">
    <xdr:from>
      <xdr:col>2</xdr:col>
      <xdr:colOff>63500</xdr:colOff>
      <xdr:row>136</xdr:row>
      <xdr:rowOff>63500</xdr:rowOff>
    </xdr:from>
    <xdr:to>
      <xdr:col>2</xdr:col>
      <xdr:colOff>1568450</xdr:colOff>
      <xdr:row>137</xdr:row>
      <xdr:rowOff>9526</xdr:rowOff>
    </xdr:to>
    <xdr:pic>
      <xdr:nvPicPr>
        <xdr:cNvPr id="6" name="Рисунок 5">
          <a:extLst>
            <a:ext uri="{FF2B5EF4-FFF2-40B4-BE49-F238E27FC236}">
              <a16:creationId xmlns:a16="http://schemas.microsoft.com/office/drawing/2014/main" id="{00000000-0008-0000-0100-000006000000}"/>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06450" y="26209625"/>
          <a:ext cx="1517650" cy="755650"/>
        </a:xfrm>
        <a:prstGeom prst="rect">
          <a:avLst/>
        </a:prstGeom>
      </xdr:spPr>
    </xdr:pic>
    <xdr:clientData/>
  </xdr:twoCellAnchor>
  <xdr:twoCellAnchor editAs="oneCell">
    <xdr:from>
      <xdr:col>2</xdr:col>
      <xdr:colOff>63500</xdr:colOff>
      <xdr:row>147</xdr:row>
      <xdr:rowOff>63500</xdr:rowOff>
    </xdr:from>
    <xdr:to>
      <xdr:col>2</xdr:col>
      <xdr:colOff>1568450</xdr:colOff>
      <xdr:row>148</xdr:row>
      <xdr:rowOff>9525</xdr:rowOff>
    </xdr:to>
    <xdr:pic>
      <xdr:nvPicPr>
        <xdr:cNvPr id="7" name="Рисунок 6">
          <a:extLst>
            <a:ext uri="{FF2B5EF4-FFF2-40B4-BE49-F238E27FC236}">
              <a16:creationId xmlns:a16="http://schemas.microsoft.com/office/drawing/2014/main" id="{00000000-0008-0000-0100-000007000000}"/>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06450" y="27819350"/>
          <a:ext cx="1517650" cy="755650"/>
        </a:xfrm>
        <a:prstGeom prst="rect">
          <a:avLst/>
        </a:prstGeom>
      </xdr:spPr>
    </xdr:pic>
    <xdr:clientData/>
  </xdr:twoCellAnchor>
  <xdr:twoCellAnchor editAs="oneCell">
    <xdr:from>
      <xdr:col>2</xdr:col>
      <xdr:colOff>63500</xdr:colOff>
      <xdr:row>156</xdr:row>
      <xdr:rowOff>63500</xdr:rowOff>
    </xdr:from>
    <xdr:to>
      <xdr:col>2</xdr:col>
      <xdr:colOff>1568450</xdr:colOff>
      <xdr:row>157</xdr:row>
      <xdr:rowOff>9526</xdr:rowOff>
    </xdr:to>
    <xdr:pic>
      <xdr:nvPicPr>
        <xdr:cNvPr id="8" name="Рисунок 7">
          <a:extLst>
            <a:ext uri="{FF2B5EF4-FFF2-40B4-BE49-F238E27FC236}">
              <a16:creationId xmlns:a16="http://schemas.microsoft.com/office/drawing/2014/main" id="{00000000-0008-0000-0100-000008000000}"/>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06450" y="29038550"/>
          <a:ext cx="1517650" cy="755650"/>
        </a:xfrm>
        <a:prstGeom prst="rect">
          <a:avLst/>
        </a:prstGeom>
      </xdr:spPr>
    </xdr:pic>
    <xdr:clientData/>
  </xdr:twoCellAnchor>
  <xdr:twoCellAnchor editAs="oneCell">
    <xdr:from>
      <xdr:col>2</xdr:col>
      <xdr:colOff>63500</xdr:colOff>
      <xdr:row>165</xdr:row>
      <xdr:rowOff>63500</xdr:rowOff>
    </xdr:from>
    <xdr:to>
      <xdr:col>2</xdr:col>
      <xdr:colOff>1568450</xdr:colOff>
      <xdr:row>166</xdr:row>
      <xdr:rowOff>9524</xdr:rowOff>
    </xdr:to>
    <xdr:pic>
      <xdr:nvPicPr>
        <xdr:cNvPr id="9" name="Рисунок 8">
          <a:extLst>
            <a:ext uri="{FF2B5EF4-FFF2-40B4-BE49-F238E27FC236}">
              <a16:creationId xmlns:a16="http://schemas.microsoft.com/office/drawing/2014/main" id="{00000000-0008-0000-0100-000009000000}"/>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06450" y="30257750"/>
          <a:ext cx="1517650" cy="755650"/>
        </a:xfrm>
        <a:prstGeom prst="rect">
          <a:avLst/>
        </a:prstGeom>
      </xdr:spPr>
    </xdr:pic>
    <xdr:clientData/>
  </xdr:twoCellAnchor>
  <xdr:twoCellAnchor editAs="oneCell">
    <xdr:from>
      <xdr:col>2</xdr:col>
      <xdr:colOff>63500</xdr:colOff>
      <xdr:row>174</xdr:row>
      <xdr:rowOff>63500</xdr:rowOff>
    </xdr:from>
    <xdr:to>
      <xdr:col>2</xdr:col>
      <xdr:colOff>1568450</xdr:colOff>
      <xdr:row>175</xdr:row>
      <xdr:rowOff>9525</xdr:rowOff>
    </xdr:to>
    <xdr:pic>
      <xdr:nvPicPr>
        <xdr:cNvPr id="10" name="Рисунок 9">
          <a:extLst>
            <a:ext uri="{FF2B5EF4-FFF2-40B4-BE49-F238E27FC236}">
              <a16:creationId xmlns:a16="http://schemas.microsoft.com/office/drawing/2014/main" id="{00000000-0008-0000-0100-00000A000000}"/>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6450" y="31476950"/>
          <a:ext cx="1517650" cy="755650"/>
        </a:xfrm>
        <a:prstGeom prst="rect">
          <a:avLst/>
        </a:prstGeom>
      </xdr:spPr>
    </xdr:pic>
    <xdr:clientData/>
  </xdr:twoCellAnchor>
  <xdr:twoCellAnchor editAs="oneCell">
    <xdr:from>
      <xdr:col>2</xdr:col>
      <xdr:colOff>63500</xdr:colOff>
      <xdr:row>183</xdr:row>
      <xdr:rowOff>63500</xdr:rowOff>
    </xdr:from>
    <xdr:to>
      <xdr:col>2</xdr:col>
      <xdr:colOff>1568450</xdr:colOff>
      <xdr:row>184</xdr:row>
      <xdr:rowOff>9525</xdr:rowOff>
    </xdr:to>
    <xdr:pic>
      <xdr:nvPicPr>
        <xdr:cNvPr id="11" name="Рисунок 10">
          <a:extLst>
            <a:ext uri="{FF2B5EF4-FFF2-40B4-BE49-F238E27FC236}">
              <a16:creationId xmlns:a16="http://schemas.microsoft.com/office/drawing/2014/main" id="{00000000-0008-0000-0100-00000B000000}"/>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806450" y="32696150"/>
          <a:ext cx="1517650" cy="755650"/>
        </a:xfrm>
        <a:prstGeom prst="rect">
          <a:avLst/>
        </a:prstGeom>
      </xdr:spPr>
    </xdr:pic>
    <xdr:clientData/>
  </xdr:twoCellAnchor>
  <xdr:twoCellAnchor editAs="oneCell">
    <xdr:from>
      <xdr:col>2</xdr:col>
      <xdr:colOff>63500</xdr:colOff>
      <xdr:row>197</xdr:row>
      <xdr:rowOff>63500</xdr:rowOff>
    </xdr:from>
    <xdr:to>
      <xdr:col>2</xdr:col>
      <xdr:colOff>1568450</xdr:colOff>
      <xdr:row>198</xdr:row>
      <xdr:rowOff>9525</xdr:rowOff>
    </xdr:to>
    <xdr:pic>
      <xdr:nvPicPr>
        <xdr:cNvPr id="12" name="Рисунок 11">
          <a:extLst>
            <a:ext uri="{FF2B5EF4-FFF2-40B4-BE49-F238E27FC236}">
              <a16:creationId xmlns:a16="http://schemas.microsoft.com/office/drawing/2014/main" id="{00000000-0008-0000-0100-00000C000000}"/>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06450" y="34877375"/>
          <a:ext cx="1517650" cy="1012825"/>
        </a:xfrm>
        <a:prstGeom prst="rect">
          <a:avLst/>
        </a:prstGeom>
      </xdr:spPr>
    </xdr:pic>
    <xdr:clientData/>
  </xdr:twoCellAnchor>
  <xdr:twoCellAnchor editAs="oneCell">
    <xdr:from>
      <xdr:col>2</xdr:col>
      <xdr:colOff>63500</xdr:colOff>
      <xdr:row>206</xdr:row>
      <xdr:rowOff>63500</xdr:rowOff>
    </xdr:from>
    <xdr:to>
      <xdr:col>2</xdr:col>
      <xdr:colOff>1568450</xdr:colOff>
      <xdr:row>207</xdr:row>
      <xdr:rowOff>9525</xdr:rowOff>
    </xdr:to>
    <xdr:pic>
      <xdr:nvPicPr>
        <xdr:cNvPr id="13" name="Рисунок 12">
          <a:extLst>
            <a:ext uri="{FF2B5EF4-FFF2-40B4-BE49-F238E27FC236}">
              <a16:creationId xmlns:a16="http://schemas.microsoft.com/office/drawing/2014/main" id="{00000000-0008-0000-0100-00000D000000}"/>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06450" y="36353750"/>
          <a:ext cx="1517650" cy="946150"/>
        </a:xfrm>
        <a:prstGeom prst="rect">
          <a:avLst/>
        </a:prstGeom>
      </xdr:spPr>
    </xdr:pic>
    <xdr:clientData/>
  </xdr:twoCellAnchor>
  <xdr:twoCellAnchor editAs="oneCell">
    <xdr:from>
      <xdr:col>2</xdr:col>
      <xdr:colOff>63500</xdr:colOff>
      <xdr:row>215</xdr:row>
      <xdr:rowOff>63500</xdr:rowOff>
    </xdr:from>
    <xdr:to>
      <xdr:col>2</xdr:col>
      <xdr:colOff>1568450</xdr:colOff>
      <xdr:row>216</xdr:row>
      <xdr:rowOff>9526</xdr:rowOff>
    </xdr:to>
    <xdr:pic>
      <xdr:nvPicPr>
        <xdr:cNvPr id="14" name="Рисунок 13">
          <a:extLst>
            <a:ext uri="{FF2B5EF4-FFF2-40B4-BE49-F238E27FC236}">
              <a16:creationId xmlns:a16="http://schemas.microsoft.com/office/drawing/2014/main" id="{00000000-0008-0000-0100-00000E000000}"/>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806450" y="37763450"/>
          <a:ext cx="1517650" cy="746125"/>
        </a:xfrm>
        <a:prstGeom prst="rect">
          <a:avLst/>
        </a:prstGeom>
      </xdr:spPr>
    </xdr:pic>
    <xdr:clientData/>
  </xdr:twoCellAnchor>
  <xdr:twoCellAnchor editAs="oneCell">
    <xdr:from>
      <xdr:col>2</xdr:col>
      <xdr:colOff>63500</xdr:colOff>
      <xdr:row>224</xdr:row>
      <xdr:rowOff>63500</xdr:rowOff>
    </xdr:from>
    <xdr:to>
      <xdr:col>2</xdr:col>
      <xdr:colOff>1568450</xdr:colOff>
      <xdr:row>225</xdr:row>
      <xdr:rowOff>9524</xdr:rowOff>
    </xdr:to>
    <xdr:pic>
      <xdr:nvPicPr>
        <xdr:cNvPr id="15" name="Рисунок 14">
          <a:extLst>
            <a:ext uri="{FF2B5EF4-FFF2-40B4-BE49-F238E27FC236}">
              <a16:creationId xmlns:a16="http://schemas.microsoft.com/office/drawing/2014/main" id="{00000000-0008-0000-0100-00000F000000}"/>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06450" y="38973125"/>
          <a:ext cx="1517650" cy="1003300"/>
        </a:xfrm>
        <a:prstGeom prst="rect">
          <a:avLst/>
        </a:prstGeom>
      </xdr:spPr>
    </xdr:pic>
    <xdr:clientData/>
  </xdr:twoCellAnchor>
  <xdr:twoCellAnchor editAs="oneCell">
    <xdr:from>
      <xdr:col>2</xdr:col>
      <xdr:colOff>63500</xdr:colOff>
      <xdr:row>233</xdr:row>
      <xdr:rowOff>63500</xdr:rowOff>
    </xdr:from>
    <xdr:to>
      <xdr:col>2</xdr:col>
      <xdr:colOff>1568450</xdr:colOff>
      <xdr:row>234</xdr:row>
      <xdr:rowOff>9525</xdr:rowOff>
    </xdr:to>
    <xdr:pic>
      <xdr:nvPicPr>
        <xdr:cNvPr id="16" name="Рисунок 15">
          <a:extLst>
            <a:ext uri="{FF2B5EF4-FFF2-40B4-BE49-F238E27FC236}">
              <a16:creationId xmlns:a16="http://schemas.microsoft.com/office/drawing/2014/main" id="{00000000-0008-0000-0100-000010000000}"/>
            </a:ext>
          </a:extLst>
        </xdr:cNvPr>
        <xdr:cNvPicPr>
          <a:picLocks/>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806450" y="40439975"/>
          <a:ext cx="1517650" cy="803275"/>
        </a:xfrm>
        <a:prstGeom prst="rect">
          <a:avLst/>
        </a:prstGeom>
      </xdr:spPr>
    </xdr:pic>
    <xdr:clientData/>
  </xdr:twoCellAnchor>
  <xdr:twoCellAnchor editAs="oneCell">
    <xdr:from>
      <xdr:col>2</xdr:col>
      <xdr:colOff>63500</xdr:colOff>
      <xdr:row>242</xdr:row>
      <xdr:rowOff>63500</xdr:rowOff>
    </xdr:from>
    <xdr:to>
      <xdr:col>2</xdr:col>
      <xdr:colOff>1568450</xdr:colOff>
      <xdr:row>243</xdr:row>
      <xdr:rowOff>9524</xdr:rowOff>
    </xdr:to>
    <xdr:pic>
      <xdr:nvPicPr>
        <xdr:cNvPr id="17" name="Рисунок 16">
          <a:extLst>
            <a:ext uri="{FF2B5EF4-FFF2-40B4-BE49-F238E27FC236}">
              <a16:creationId xmlns:a16="http://schemas.microsoft.com/office/drawing/2014/main" id="{00000000-0008-0000-0100-000011000000}"/>
            </a:ext>
          </a:extLst>
        </xdr:cNvPr>
        <xdr:cNvPicPr>
          <a:picLocks/>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06450" y="41706800"/>
          <a:ext cx="1517650" cy="812800"/>
        </a:xfrm>
        <a:prstGeom prst="rect">
          <a:avLst/>
        </a:prstGeom>
      </xdr:spPr>
    </xdr:pic>
    <xdr:clientData/>
  </xdr:twoCellAnchor>
  <xdr:twoCellAnchor editAs="oneCell">
    <xdr:from>
      <xdr:col>2</xdr:col>
      <xdr:colOff>63500</xdr:colOff>
      <xdr:row>251</xdr:row>
      <xdr:rowOff>63500</xdr:rowOff>
    </xdr:from>
    <xdr:to>
      <xdr:col>2</xdr:col>
      <xdr:colOff>1568450</xdr:colOff>
      <xdr:row>252</xdr:row>
      <xdr:rowOff>9525</xdr:rowOff>
    </xdr:to>
    <xdr:pic>
      <xdr:nvPicPr>
        <xdr:cNvPr id="18" name="Рисунок 17">
          <a:extLst>
            <a:ext uri="{FF2B5EF4-FFF2-40B4-BE49-F238E27FC236}">
              <a16:creationId xmlns:a16="http://schemas.microsoft.com/office/drawing/2014/main" id="{00000000-0008-0000-0100-00001200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6450" y="42983150"/>
          <a:ext cx="1517650" cy="898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6</xdr:row>
      <xdr:rowOff>0</xdr:rowOff>
    </xdr:from>
    <xdr:to>
      <xdr:col>16</xdr:col>
      <xdr:colOff>0</xdr:colOff>
      <xdr:row>17</xdr:row>
      <xdr:rowOff>0</xdr:rowOff>
    </xdr:to>
    <xdr:pic>
      <xdr:nvPicPr>
        <xdr:cNvPr id="2" name="Рисунок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10625" y="1095375"/>
          <a:ext cx="2667000" cy="2600325"/>
        </a:xfrm>
        <a:prstGeom prst="rect">
          <a:avLst/>
        </a:prstGeom>
      </xdr:spPr>
    </xdr:pic>
    <xdr:clientData/>
  </xdr:twoCellAnchor>
  <xdr:twoCellAnchor editAs="oneCell">
    <xdr:from>
      <xdr:col>11</xdr:col>
      <xdr:colOff>0</xdr:colOff>
      <xdr:row>23</xdr:row>
      <xdr:rowOff>0</xdr:rowOff>
    </xdr:from>
    <xdr:to>
      <xdr:col>16</xdr:col>
      <xdr:colOff>0</xdr:colOff>
      <xdr:row>34</xdr:row>
      <xdr:rowOff>0</xdr:rowOff>
    </xdr:to>
    <xdr:pic>
      <xdr:nvPicPr>
        <xdr:cNvPr id="3" name="Рисунок 2">
          <a:extLst>
            <a:ext uri="{FF2B5EF4-FFF2-40B4-BE49-F238E27FC236}">
              <a16:creationId xmlns:a16="http://schemas.microsoft.com/office/drawing/2014/main" id="{00000000-0008-0000-0200-000003000000}"/>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10625" y="5124450"/>
          <a:ext cx="2667000" cy="2600325"/>
        </a:xfrm>
        <a:prstGeom prst="rect">
          <a:avLst/>
        </a:prstGeom>
      </xdr:spPr>
    </xdr:pic>
    <xdr:clientData/>
  </xdr:twoCellAnchor>
  <xdr:twoCellAnchor editAs="oneCell">
    <xdr:from>
      <xdr:col>11</xdr:col>
      <xdr:colOff>0</xdr:colOff>
      <xdr:row>40</xdr:row>
      <xdr:rowOff>0</xdr:rowOff>
    </xdr:from>
    <xdr:to>
      <xdr:col>16</xdr:col>
      <xdr:colOff>0</xdr:colOff>
      <xdr:row>51</xdr:row>
      <xdr:rowOff>0</xdr:rowOff>
    </xdr:to>
    <xdr:pic>
      <xdr:nvPicPr>
        <xdr:cNvPr id="4" name="Рисунок 3">
          <a:extLst>
            <a:ext uri="{FF2B5EF4-FFF2-40B4-BE49-F238E27FC236}">
              <a16:creationId xmlns:a16="http://schemas.microsoft.com/office/drawing/2014/main" id="{00000000-0008-0000-02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10625" y="9153525"/>
          <a:ext cx="2667000" cy="26003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BD2650-B0B4-2843-875F-F35EC8D09CBD}" name="Таблица3" displayName="Таблица3" ref="B50:L70" totalsRowShown="0" dataDxfId="90">
  <autoFilter ref="B50:L70" xr:uid="{7ABD2650-B0B4-2843-875F-F35EC8D09CBD}"/>
  <tableColumns count="11">
    <tableColumn id="1" xr3:uid="{C722D85F-C600-9F45-A159-ACA2DCFB5D16}" name="Поз" dataDxfId="89"/>
    <tableColumn id="2" xr3:uid="{41689A50-C11C-4E4C-A7AE-22CB51EDC6E2}" name="Наименование работ" dataDxfId="88"/>
    <tableColumn id="3" xr3:uid="{E28B20B9-05E7-FA48-ACA8-36FE5A4CCD82}" name="Столбец1" dataDxfId="87"/>
    <tableColumn id="4" xr3:uid="{07F7D07E-D733-D242-993E-F181639DCCB9}" name="К-во" dataDxfId="86"/>
    <tableColumn id="5" xr3:uid="{7EC15689-EDD7-EA40-A909-C24E372A7AB5}" name="Норма" dataDxfId="85"/>
    <tableColumn id="6" xr3:uid="{3C4FB65F-EC7B-3C42-B84B-BCEF48232734}" name="Цена без НДС" dataDxfId="84"/>
    <tableColumn id="7" xr3:uid="{C7521BA9-4843-7043-9D42-7996992CBC98}" name="Стоимость без НДС" dataDxfId="83"/>
    <tableColumn id="8" xr3:uid="{41306FA3-8B3A-674E-965E-EFAE483CAA64}" name="Столбец2" dataDxfId="82"/>
    <tableColumn id="9" xr3:uid="{21431B74-B8D5-A347-9D20-EC33968A1A74}" name="Столбец3" dataDxfId="81"/>
    <tableColumn id="10" xr3:uid="{AB5E9271-272C-8842-932E-5306DDF46ADA}" name="Столбец4" dataDxfId="80"/>
    <tableColumn id="11" xr3:uid="{73093657-AC9E-7E42-B83F-67946373A033}" name="Столбец5" dataDxfId="79"/>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Лазер" displayName="Лазер" ref="A2:V238" totalsRowCount="1" headerRowDxfId="78" dataDxfId="76" headerRowBorderDxfId="77" tableBorderDxfId="75">
  <autoFilter ref="A2:V237"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autoFilter>
  <tableColumns count="22">
    <tableColumn id="1" xr3:uid="{00000000-0010-0000-0000-000001000000}" name="Поз." totalsRowLabel="Итог" dataDxfId="74" totalsRowDxfId="73"/>
    <tableColumn id="2" xr3:uid="{00000000-0010-0000-0000-000002000000}" name="Обозначение" dataDxfId="72" totalsRowDxfId="71"/>
    <tableColumn id="3" xr3:uid="{00000000-0010-0000-0000-000003000000}" name="Наименование" dataDxfId="70" totalsRowDxfId="69"/>
    <tableColumn id="4" xr3:uid="{00000000-0010-0000-0000-000004000000}" name="Кол., шт" dataDxfId="68" totalsRowDxfId="67"/>
    <tableColumn id="5" xr3:uid="{00000000-0010-0000-0000-000005000000}" name="Толщина, мм" dataDxfId="66" totalsRowDxfId="65"/>
    <tableColumn id="6" xr3:uid="{00000000-0010-0000-0000-000006000000}" name="Материал" dataDxfId="64" totalsRowDxfId="63"/>
    <tableColumn id="7" xr3:uid="{00000000-0010-0000-0000-000007000000}" name="Технология" dataDxfId="62" totalsRowDxfId="61"/>
    <tableColumn id="8" xr3:uid="{00000000-0010-0000-0000-000008000000}" name="Масса, кг" dataDxfId="60" totalsRowDxfId="59"/>
    <tableColumn id="9" xr3:uid="{00000000-0010-0000-0000-000009000000}" name="Сгибы" dataDxfId="58" totalsRowDxfId="57"/>
    <tableColumn id="10" xr3:uid="{00000000-0010-0000-0000-00000A000000}" name="Врезки" dataDxfId="56" totalsRowDxfId="55"/>
    <tableColumn id="11" xr3:uid="{00000000-0010-0000-0000-00000B000000}" name="Периметр -_x000a_Внешний, мм" dataDxfId="54" totalsRowDxfId="53"/>
    <tableColumn id="12" xr3:uid="{00000000-0010-0000-0000-00000C000000}" name="Периметр -_x000a_Внутренний, мм" dataDxfId="52" totalsRowDxfId="51"/>
    <tableColumn id="13" xr3:uid="{00000000-0010-0000-0000-00000D000000}" name="Цена материала, руб с НДС/кг" dataDxfId="50" totalsRowDxfId="49">
      <calculatedColumnFormula>VLOOKUP(F3,'Прайс Лазер'!$L$3:$M$9,2,0)</calculatedColumnFormula>
    </tableColumn>
    <tableColumn id="14" xr3:uid="{00000000-0010-0000-0000-00000E000000}" name="Цена гибки, руб с НДС/сгиб" dataDxfId="48" totalsRowDxfId="47"/>
    <tableColumn id="15" xr3:uid="{00000000-0010-0000-0000-00000F000000}" name="Цена врезки, руб с НДС/врезка" dataDxfId="46" totalsRowDxfId="45">
      <calculatedColumnFormula>VLOOKUP(E3,'Прайс Лазер'!$I$4:$J$21,2,0)</calculatedColumnFormula>
    </tableColumn>
    <tableColumn id="16" xr3:uid="{00000000-0010-0000-0000-000010000000}" name="Цена резки, руб с НДС/м" dataDxfId="44" totalsRowDxfId="43">
      <calculatedColumnFormula>HLOOKUP('Оценка лазера'!$E3,'Прайс Лазер'!$C$26:$T$34,1+VLOOKUP(F3,'Прайс Лазер'!$A$26:$B$34,2,0),0)</calculatedColumnFormula>
    </tableColumn>
    <tableColumn id="17" xr3:uid="{00000000-0010-0000-0000-000011000000}" name="Стоимость материала, руб с НДС" dataDxfId="42" totalsRowDxfId="41">
      <calculatedColumnFormula>H3*M3</calculatedColumnFormula>
    </tableColumn>
    <tableColumn id="18" xr3:uid="{00000000-0010-0000-0000-000012000000}" name="Стоимость гибки, руб с НДС" dataDxfId="40" totalsRowDxfId="39">
      <calculatedColumnFormula>I3*N3</calculatedColumnFormula>
    </tableColumn>
    <tableColumn id="19" xr3:uid="{00000000-0010-0000-0000-000013000000}" name="Стоимость _x000a_резки, руб с НДС" dataDxfId="38" totalsRowDxfId="37">
      <calculatedColumnFormula>(K3+L3)/1000*1.1*P3+(J3*O3)</calculatedColumnFormula>
    </tableColumn>
    <tableColumn id="20" xr3:uid="{00000000-0010-0000-0000-000014000000}" name="Стоимость 1 _x000a_детали, руб с НДС" dataDxfId="36" totalsRowDxfId="35">
      <calculatedColumnFormula>Q3+R3+S3</calculatedColumnFormula>
    </tableColumn>
    <tableColumn id="21" xr3:uid="{00000000-0010-0000-0000-000015000000}" name="Стоимость _x000a_комплекта, руб с НДС" dataDxfId="34" totalsRowDxfId="33">
      <calculatedColumnFormula>D3*T3</calculatedColumnFormula>
    </tableColumn>
    <tableColumn id="22" xr3:uid="{00000000-0010-0000-0000-000016000000}" name="Стоимость _x000a_комплекта, руб без НДС" totalsRowFunction="custom" dataDxfId="32" totalsRowDxfId="31">
      <calculatedColumnFormula>U3/1.2</calculatedColumnFormula>
      <totalsRowFormula>SUM(V3:V237)</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Таблица2" displayName="Таблица2" ref="A1:N51" totalsRowShown="0" headerRowDxfId="30" headerRowBorderDxfId="29" tableBorderDxfId="28" totalsRowBorderDxfId="27">
  <autoFilter ref="A1:N51" xr:uid="{00000000-0009-0000-0100-000002000000}">
    <filterColumn colId="0" hiddenButton="1"/>
    <filterColumn colId="1" hiddenButton="1"/>
    <filterColumn colId="2" hiddenButton="1"/>
    <filterColumn colId="3" hiddenButton="1"/>
    <filterColumn colId="4"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100-000001000000}" name="Поз." dataDxfId="26"/>
    <tableColumn id="2" xr3:uid="{00000000-0010-0000-0100-000002000000}" name="Обозначение" dataDxfId="25"/>
    <tableColumn id="3" xr3:uid="{00000000-0010-0000-0100-000003000000}" name="Наименование" dataDxfId="24"/>
    <tableColumn id="4" xr3:uid="{00000000-0010-0000-0100-000004000000}" name="Кол." dataDxfId="23"/>
    <tableColumn id="5" xr3:uid="{00000000-0010-0000-0100-000005000000}" name="Толщина, мм" dataDxfId="22"/>
    <tableColumn id="14" xr3:uid="{00000000-0010-0000-0100-00000E000000}" name="Кол.проходов" dataDxfId="21">
      <calculatedColumnFormula>CEILING(Таблица2[[#This Row],[Толщина, мм]]/5,1)</calculatedColumnFormula>
    </tableColumn>
    <tableColumn id="6" xr3:uid="{00000000-0010-0000-0100-000006000000}" name="Материал" dataDxfId="20"/>
    <tableColumn id="7" xr3:uid="{00000000-0010-0000-0100-000007000000}" name="Масса, кг" dataDxfId="19"/>
    <tableColumn id="8" xr3:uid="{00000000-0010-0000-0100-000008000000}" name="Технология" dataDxfId="18"/>
    <tableColumn id="9" xr3:uid="{00000000-0010-0000-0100-000009000000}" name="Периметр -_x000a_Внешний, мм" dataDxfId="17"/>
    <tableColumn id="10" xr3:uid="{00000000-0010-0000-0100-00000A000000}" name="Периметр -_x000a_Внутренний, мм" dataDxfId="16"/>
    <tableColumn id="11" xr3:uid="{00000000-0010-0000-0100-00000B000000}" name="Общая масса, кг" dataDxfId="15">
      <calculatedColumnFormula>D2*H2</calculatedColumnFormula>
    </tableColumn>
    <tableColumn id="12" xr3:uid="{00000000-0010-0000-0100-00000C000000}" name="Стоимость _x000a_материала, руб безНДС" dataDxfId="14">
      <calculatedColumnFormula>((H2*99)/1.2)*D2</calculatedColumnFormula>
    </tableColumn>
    <tableColumn id="13" xr3:uid="{00000000-0010-0000-0100-00000D000000}" name="Стоимость _x000a_Фрезеровки, руб без НДС" dataDxfId="13">
      <calculatedColumnFormula>(((J2+K2)/1000*1.1*30*Таблица2[[#This Row],[Кол.проходов]])/1.2)*D2</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3"/>
  <sheetViews>
    <sheetView zoomScale="85" zoomScaleNormal="85" workbookViewId="0">
      <selection activeCell="C9" sqref="C9"/>
    </sheetView>
  </sheetViews>
  <sheetFormatPr baseColWidth="10" defaultColWidth="8.75" defaultRowHeight="11"/>
  <cols>
    <col min="1" max="1" width="5.75" bestFit="1" customWidth="1"/>
    <col min="2" max="2" width="22" customWidth="1"/>
    <col min="3" max="3" width="24.75" customWidth="1"/>
    <col min="4" max="5" width="12.5" customWidth="1"/>
    <col min="6" max="6" width="16.5" customWidth="1"/>
    <col min="7" max="7" width="13.75" customWidth="1"/>
    <col min="8" max="8" width="11.5" customWidth="1"/>
    <col min="9" max="9" width="13" customWidth="1"/>
    <col min="10" max="10" width="11.5" customWidth="1"/>
    <col min="11" max="11" width="14.25" customWidth="1"/>
    <col min="12" max="12" width="14.75" customWidth="1"/>
    <col min="13" max="13" width="13.25" customWidth="1"/>
    <col min="14" max="14" width="10.25" customWidth="1"/>
    <col min="15" max="22" width="14" customWidth="1"/>
    <col min="23" max="23" width="18.75" customWidth="1"/>
    <col min="24" max="24" width="17.75" customWidth="1"/>
    <col min="25" max="25" width="18.75" customWidth="1"/>
  </cols>
  <sheetData>
    <row r="1" spans="1:25" s="199" customFormat="1" ht="68">
      <c r="A1" s="203" t="s">
        <v>29</v>
      </c>
      <c r="B1" s="198" t="s">
        <v>30</v>
      </c>
      <c r="C1" s="198" t="s">
        <v>2</v>
      </c>
      <c r="D1" s="198" t="s">
        <v>31</v>
      </c>
      <c r="E1" s="198" t="s">
        <v>255</v>
      </c>
      <c r="F1" s="198" t="s">
        <v>242</v>
      </c>
      <c r="G1" s="198" t="s">
        <v>243</v>
      </c>
      <c r="H1" s="198" t="s">
        <v>244</v>
      </c>
      <c r="I1" s="198" t="s">
        <v>245</v>
      </c>
      <c r="J1" s="198" t="s">
        <v>246</v>
      </c>
      <c r="K1" s="198" t="s">
        <v>247</v>
      </c>
      <c r="L1" s="198" t="s">
        <v>248</v>
      </c>
      <c r="M1" s="198" t="s">
        <v>249</v>
      </c>
      <c r="N1" s="198" t="s">
        <v>250</v>
      </c>
      <c r="O1" s="198" t="s">
        <v>251</v>
      </c>
      <c r="P1" s="198" t="s">
        <v>256</v>
      </c>
      <c r="Q1" s="198" t="s">
        <v>257</v>
      </c>
      <c r="R1" s="198" t="s">
        <v>258</v>
      </c>
      <c r="S1" s="198" t="s">
        <v>259</v>
      </c>
      <c r="T1" s="198" t="s">
        <v>260</v>
      </c>
      <c r="U1" s="198" t="s">
        <v>261</v>
      </c>
      <c r="V1" s="198" t="s">
        <v>262</v>
      </c>
      <c r="W1" s="198" t="s">
        <v>32</v>
      </c>
      <c r="X1" s="198" t="s">
        <v>33</v>
      </c>
      <c r="Y1" s="198" t="s">
        <v>150</v>
      </c>
    </row>
    <row r="2" spans="1:25">
      <c r="A2">
        <v>1</v>
      </c>
      <c r="B2" t="s">
        <v>276</v>
      </c>
      <c r="C2" t="s">
        <v>277</v>
      </c>
      <c r="D2">
        <v>2</v>
      </c>
      <c r="E2" t="s">
        <v>278</v>
      </c>
      <c r="F2" t="s">
        <v>279</v>
      </c>
      <c r="G2">
        <v>6</v>
      </c>
      <c r="H2">
        <v>1146</v>
      </c>
      <c r="I2">
        <v>2292</v>
      </c>
      <c r="J2">
        <v>0.25</v>
      </c>
      <c r="K2">
        <v>0.5</v>
      </c>
      <c r="L2">
        <v>0.02</v>
      </c>
      <c r="M2">
        <v>0.04</v>
      </c>
      <c r="N2">
        <v>0</v>
      </c>
      <c r="O2">
        <v>0</v>
      </c>
      <c r="P2">
        <v>0</v>
      </c>
      <c r="Q2">
        <v>0</v>
      </c>
      <c r="R2">
        <v>0</v>
      </c>
      <c r="S2">
        <v>0</v>
      </c>
      <c r="T2">
        <v>0</v>
      </c>
      <c r="U2">
        <v>0</v>
      </c>
      <c r="V2">
        <v>0</v>
      </c>
      <c r="W2" t="s">
        <v>85</v>
      </c>
      <c r="X2" t="s">
        <v>280</v>
      </c>
      <c r="Y2" t="s">
        <v>281</v>
      </c>
    </row>
    <row r="3" spans="1:25">
      <c r="A3">
        <v>2</v>
      </c>
      <c r="B3" t="s">
        <v>282</v>
      </c>
      <c r="C3" t="s">
        <v>283</v>
      </c>
      <c r="D3">
        <v>1</v>
      </c>
      <c r="E3" t="s">
        <v>278</v>
      </c>
      <c r="F3" t="s">
        <v>279</v>
      </c>
      <c r="G3">
        <v>8</v>
      </c>
      <c r="H3">
        <v>146</v>
      </c>
      <c r="I3">
        <v>146</v>
      </c>
      <c r="J3">
        <v>0.06</v>
      </c>
      <c r="K3">
        <v>0.06</v>
      </c>
      <c r="L3">
        <v>0</v>
      </c>
      <c r="M3">
        <v>0</v>
      </c>
      <c r="N3">
        <v>0</v>
      </c>
      <c r="O3">
        <v>0</v>
      </c>
      <c r="P3">
        <v>0</v>
      </c>
      <c r="Q3">
        <v>0</v>
      </c>
      <c r="R3">
        <v>0</v>
      </c>
      <c r="S3">
        <v>0</v>
      </c>
      <c r="T3">
        <v>0</v>
      </c>
      <c r="U3">
        <v>0</v>
      </c>
      <c r="V3">
        <v>0</v>
      </c>
      <c r="W3" t="s">
        <v>85</v>
      </c>
      <c r="X3" t="s">
        <v>280</v>
      </c>
      <c r="Y3" t="s">
        <v>281</v>
      </c>
    </row>
    <row r="4" spans="1:25">
      <c r="A4">
        <v>3</v>
      </c>
      <c r="B4" t="s">
        <v>284</v>
      </c>
      <c r="C4" t="s">
        <v>285</v>
      </c>
      <c r="D4">
        <v>3</v>
      </c>
      <c r="E4" t="s">
        <v>278</v>
      </c>
      <c r="F4" t="s">
        <v>279</v>
      </c>
      <c r="G4">
        <v>8</v>
      </c>
      <c r="H4">
        <v>175</v>
      </c>
      <c r="I4">
        <v>525</v>
      </c>
      <c r="J4">
        <v>7.0000000000000007E-2</v>
      </c>
      <c r="K4">
        <v>0.21</v>
      </c>
      <c r="L4">
        <v>0</v>
      </c>
      <c r="M4">
        <v>0</v>
      </c>
      <c r="N4">
        <v>0</v>
      </c>
      <c r="O4">
        <v>0</v>
      </c>
      <c r="P4">
        <v>0</v>
      </c>
      <c r="Q4">
        <v>0</v>
      </c>
      <c r="R4">
        <v>0</v>
      </c>
      <c r="S4">
        <v>0</v>
      </c>
      <c r="T4">
        <v>0</v>
      </c>
      <c r="U4">
        <v>0</v>
      </c>
      <c r="V4">
        <v>0</v>
      </c>
      <c r="W4" t="s">
        <v>85</v>
      </c>
      <c r="X4" t="s">
        <v>280</v>
      </c>
      <c r="Y4" t="s">
        <v>281</v>
      </c>
    </row>
    <row r="5" spans="1:25">
      <c r="A5">
        <v>4</v>
      </c>
      <c r="B5" t="s">
        <v>286</v>
      </c>
      <c r="C5" t="s">
        <v>287</v>
      </c>
      <c r="D5">
        <v>4</v>
      </c>
      <c r="E5" t="s">
        <v>278</v>
      </c>
      <c r="F5" t="s">
        <v>279</v>
      </c>
      <c r="G5">
        <v>8</v>
      </c>
      <c r="H5">
        <v>1338</v>
      </c>
      <c r="I5">
        <v>5352</v>
      </c>
      <c r="J5">
        <v>0.53</v>
      </c>
      <c r="K5">
        <v>2.12</v>
      </c>
      <c r="L5">
        <v>0.03</v>
      </c>
      <c r="M5">
        <v>0.12</v>
      </c>
      <c r="N5">
        <v>0</v>
      </c>
      <c r="O5">
        <v>0</v>
      </c>
      <c r="P5">
        <v>0</v>
      </c>
      <c r="Q5">
        <v>0</v>
      </c>
      <c r="R5">
        <v>0</v>
      </c>
      <c r="S5">
        <v>4</v>
      </c>
      <c r="T5">
        <v>0</v>
      </c>
      <c r="U5">
        <v>0</v>
      </c>
      <c r="V5">
        <v>0</v>
      </c>
      <c r="W5" t="s">
        <v>85</v>
      </c>
      <c r="X5" t="s">
        <v>280</v>
      </c>
      <c r="Y5" t="s">
        <v>281</v>
      </c>
    </row>
    <row r="6" spans="1:25">
      <c r="A6">
        <v>5</v>
      </c>
      <c r="B6" t="s">
        <v>288</v>
      </c>
      <c r="C6" t="s">
        <v>277</v>
      </c>
      <c r="D6">
        <v>4</v>
      </c>
      <c r="E6" t="s">
        <v>278</v>
      </c>
      <c r="F6" t="s">
        <v>279</v>
      </c>
      <c r="G6">
        <v>8</v>
      </c>
      <c r="H6">
        <v>1019</v>
      </c>
      <c r="I6">
        <v>4076</v>
      </c>
      <c r="J6">
        <v>0.4</v>
      </c>
      <c r="K6">
        <v>1.6</v>
      </c>
      <c r="L6">
        <v>0</v>
      </c>
      <c r="M6">
        <v>0</v>
      </c>
      <c r="N6">
        <v>0</v>
      </c>
      <c r="O6">
        <v>0</v>
      </c>
      <c r="P6">
        <v>0</v>
      </c>
      <c r="Q6">
        <v>0</v>
      </c>
      <c r="R6">
        <v>0</v>
      </c>
      <c r="S6">
        <v>2</v>
      </c>
      <c r="T6">
        <v>0</v>
      </c>
      <c r="U6">
        <v>0</v>
      </c>
      <c r="V6">
        <v>0</v>
      </c>
      <c r="W6" t="s">
        <v>85</v>
      </c>
      <c r="X6" t="s">
        <v>280</v>
      </c>
      <c r="Y6" t="s">
        <v>281</v>
      </c>
    </row>
    <row r="7" spans="1:25">
      <c r="A7">
        <v>6</v>
      </c>
      <c r="B7" t="s">
        <v>289</v>
      </c>
      <c r="C7" t="s">
        <v>287</v>
      </c>
      <c r="D7">
        <v>4</v>
      </c>
      <c r="E7" t="s">
        <v>278</v>
      </c>
      <c r="F7" t="s">
        <v>279</v>
      </c>
      <c r="G7">
        <v>8</v>
      </c>
      <c r="H7">
        <v>1831</v>
      </c>
      <c r="I7">
        <v>7324</v>
      </c>
      <c r="J7">
        <v>0.72</v>
      </c>
      <c r="K7">
        <v>2.88</v>
      </c>
      <c r="L7">
        <v>0.05</v>
      </c>
      <c r="M7">
        <v>0.2</v>
      </c>
      <c r="N7">
        <v>0</v>
      </c>
      <c r="O7">
        <v>0</v>
      </c>
      <c r="P7">
        <v>0</v>
      </c>
      <c r="Q7">
        <v>0</v>
      </c>
      <c r="R7">
        <v>0</v>
      </c>
      <c r="S7">
        <v>12</v>
      </c>
      <c r="T7">
        <v>0</v>
      </c>
      <c r="U7">
        <v>0</v>
      </c>
      <c r="V7">
        <v>0</v>
      </c>
      <c r="W7" t="s">
        <v>85</v>
      </c>
      <c r="X7" t="s">
        <v>280</v>
      </c>
      <c r="Y7" t="s">
        <v>281</v>
      </c>
    </row>
    <row r="8" spans="1:25">
      <c r="A8">
        <v>7</v>
      </c>
      <c r="B8" t="s">
        <v>290</v>
      </c>
      <c r="C8" t="s">
        <v>291</v>
      </c>
      <c r="D8">
        <v>2</v>
      </c>
      <c r="E8" t="s">
        <v>278</v>
      </c>
      <c r="F8" t="s">
        <v>279</v>
      </c>
      <c r="G8">
        <v>8</v>
      </c>
      <c r="H8">
        <v>1481.42</v>
      </c>
      <c r="I8">
        <v>2962.84</v>
      </c>
      <c r="J8">
        <v>0.57999999999999996</v>
      </c>
      <c r="K8">
        <v>1.1599999999999999</v>
      </c>
      <c r="L8">
        <v>0.04</v>
      </c>
      <c r="M8">
        <v>0.08</v>
      </c>
      <c r="N8">
        <v>0</v>
      </c>
      <c r="O8">
        <v>0</v>
      </c>
      <c r="P8">
        <v>0</v>
      </c>
      <c r="Q8">
        <v>0</v>
      </c>
      <c r="R8">
        <v>0</v>
      </c>
      <c r="S8">
        <v>2</v>
      </c>
      <c r="T8">
        <v>0</v>
      </c>
      <c r="U8">
        <v>0</v>
      </c>
      <c r="V8">
        <v>0</v>
      </c>
      <c r="W8" t="s">
        <v>85</v>
      </c>
      <c r="X8" t="s">
        <v>280</v>
      </c>
      <c r="Y8" t="s">
        <v>281</v>
      </c>
    </row>
    <row r="9" spans="1:25">
      <c r="A9">
        <v>8</v>
      </c>
      <c r="B9" t="s">
        <v>292</v>
      </c>
      <c r="C9" t="s">
        <v>277</v>
      </c>
      <c r="D9">
        <v>2</v>
      </c>
      <c r="E9" t="s">
        <v>278</v>
      </c>
      <c r="F9" t="s">
        <v>279</v>
      </c>
      <c r="G9">
        <v>8</v>
      </c>
      <c r="H9">
        <v>146</v>
      </c>
      <c r="I9">
        <v>292</v>
      </c>
      <c r="J9">
        <v>0.06</v>
      </c>
      <c r="K9">
        <v>0.12</v>
      </c>
      <c r="L9">
        <v>0</v>
      </c>
      <c r="M9">
        <v>0</v>
      </c>
      <c r="N9">
        <v>0</v>
      </c>
      <c r="O9">
        <v>0</v>
      </c>
      <c r="P9">
        <v>0</v>
      </c>
      <c r="Q9">
        <v>0</v>
      </c>
      <c r="R9">
        <v>0</v>
      </c>
      <c r="S9">
        <v>0</v>
      </c>
      <c r="T9">
        <v>0</v>
      </c>
      <c r="U9">
        <v>0</v>
      </c>
      <c r="V9">
        <v>0</v>
      </c>
      <c r="W9" t="s">
        <v>85</v>
      </c>
      <c r="X9" t="s">
        <v>280</v>
      </c>
      <c r="Y9" t="s">
        <v>281</v>
      </c>
    </row>
    <row r="10" spans="1:25">
      <c r="A10">
        <v>9</v>
      </c>
      <c r="B10" t="s">
        <v>293</v>
      </c>
      <c r="C10" t="s">
        <v>285</v>
      </c>
      <c r="D10">
        <v>4</v>
      </c>
      <c r="E10" t="s">
        <v>278</v>
      </c>
      <c r="F10" t="s">
        <v>279</v>
      </c>
      <c r="G10">
        <v>8</v>
      </c>
      <c r="H10">
        <v>150</v>
      </c>
      <c r="I10">
        <v>600</v>
      </c>
      <c r="J10">
        <v>0.06</v>
      </c>
      <c r="K10">
        <v>0.24</v>
      </c>
      <c r="L10">
        <v>0</v>
      </c>
      <c r="M10">
        <v>0</v>
      </c>
      <c r="N10">
        <v>0</v>
      </c>
      <c r="O10">
        <v>0</v>
      </c>
      <c r="P10">
        <v>0</v>
      </c>
      <c r="Q10">
        <v>0</v>
      </c>
      <c r="R10">
        <v>0</v>
      </c>
      <c r="S10">
        <v>0</v>
      </c>
      <c r="T10">
        <v>0</v>
      </c>
      <c r="U10">
        <v>0</v>
      </c>
      <c r="V10">
        <v>0</v>
      </c>
      <c r="W10" t="s">
        <v>85</v>
      </c>
      <c r="X10" t="s">
        <v>280</v>
      </c>
      <c r="Y10" t="s">
        <v>281</v>
      </c>
    </row>
    <row r="11" spans="1:25">
      <c r="A11">
        <v>10</v>
      </c>
      <c r="B11" t="s">
        <v>294</v>
      </c>
      <c r="C11" t="s">
        <v>291</v>
      </c>
      <c r="D11">
        <v>4</v>
      </c>
      <c r="E11" t="s">
        <v>278</v>
      </c>
      <c r="F11" t="s">
        <v>279</v>
      </c>
      <c r="G11">
        <v>8</v>
      </c>
      <c r="H11">
        <v>30</v>
      </c>
      <c r="I11">
        <v>120</v>
      </c>
      <c r="J11">
        <v>0.01</v>
      </c>
      <c r="K11">
        <v>0.04</v>
      </c>
      <c r="L11">
        <v>0</v>
      </c>
      <c r="M11">
        <v>0</v>
      </c>
      <c r="N11">
        <v>0</v>
      </c>
      <c r="O11">
        <v>0</v>
      </c>
      <c r="P11">
        <v>0</v>
      </c>
      <c r="Q11">
        <v>0</v>
      </c>
      <c r="R11">
        <v>0</v>
      </c>
      <c r="S11">
        <v>0</v>
      </c>
      <c r="T11">
        <v>0</v>
      </c>
      <c r="U11">
        <v>0</v>
      </c>
      <c r="V11">
        <v>0</v>
      </c>
      <c r="W11" t="s">
        <v>85</v>
      </c>
      <c r="X11" t="s">
        <v>280</v>
      </c>
      <c r="Y11" t="s">
        <v>281</v>
      </c>
    </row>
    <row r="13" spans="1:25">
      <c r="A13">
        <v>11</v>
      </c>
      <c r="B13" t="s">
        <v>295</v>
      </c>
      <c r="C13" t="s">
        <v>283</v>
      </c>
      <c r="D13">
        <v>4</v>
      </c>
      <c r="E13" t="s">
        <v>278</v>
      </c>
      <c r="F13" t="s">
        <v>296</v>
      </c>
      <c r="G13" t="s">
        <v>297</v>
      </c>
      <c r="H13">
        <v>755</v>
      </c>
      <c r="I13">
        <v>3020</v>
      </c>
      <c r="J13">
        <v>0.46</v>
      </c>
      <c r="K13">
        <v>1.84</v>
      </c>
      <c r="L13">
        <v>0.04</v>
      </c>
      <c r="M13">
        <v>0.16</v>
      </c>
      <c r="N13">
        <v>0</v>
      </c>
      <c r="O13">
        <v>0</v>
      </c>
      <c r="P13">
        <v>0</v>
      </c>
      <c r="Q13">
        <v>0</v>
      </c>
      <c r="R13">
        <v>0</v>
      </c>
      <c r="S13">
        <v>0</v>
      </c>
      <c r="T13">
        <v>0</v>
      </c>
      <c r="U13">
        <v>0</v>
      </c>
      <c r="V13">
        <v>0</v>
      </c>
      <c r="W13" t="s">
        <v>86</v>
      </c>
      <c r="X13" t="s">
        <v>298</v>
      </c>
      <c r="Y13" t="s">
        <v>299</v>
      </c>
    </row>
    <row r="14" spans="1:25">
      <c r="A14">
        <v>12</v>
      </c>
      <c r="B14" t="s">
        <v>300</v>
      </c>
      <c r="C14" t="s">
        <v>301</v>
      </c>
      <c r="D14">
        <v>4</v>
      </c>
      <c r="E14" t="s">
        <v>278</v>
      </c>
      <c r="F14" t="s">
        <v>296</v>
      </c>
      <c r="G14" t="s">
        <v>302</v>
      </c>
      <c r="H14">
        <v>823</v>
      </c>
      <c r="I14">
        <v>3292</v>
      </c>
      <c r="J14">
        <v>0.88</v>
      </c>
      <c r="K14">
        <v>3.52</v>
      </c>
      <c r="L14">
        <v>7.4999999999999997E-2</v>
      </c>
      <c r="M14">
        <v>0.3</v>
      </c>
      <c r="N14">
        <v>0</v>
      </c>
      <c r="O14">
        <v>0</v>
      </c>
      <c r="P14">
        <v>0</v>
      </c>
      <c r="Q14">
        <v>0</v>
      </c>
      <c r="R14">
        <v>0</v>
      </c>
      <c r="S14">
        <v>0</v>
      </c>
      <c r="T14">
        <v>0</v>
      </c>
      <c r="U14">
        <v>0</v>
      </c>
      <c r="V14">
        <v>0</v>
      </c>
      <c r="W14" t="s">
        <v>86</v>
      </c>
      <c r="X14" t="s">
        <v>298</v>
      </c>
      <c r="Y14" t="s">
        <v>299</v>
      </c>
    </row>
    <row r="15" spans="1:25">
      <c r="A15">
        <v>13</v>
      </c>
      <c r="B15" t="s">
        <v>303</v>
      </c>
      <c r="C15" t="s">
        <v>296</v>
      </c>
      <c r="D15">
        <v>2</v>
      </c>
      <c r="E15" t="s">
        <v>278</v>
      </c>
      <c r="F15" t="s">
        <v>296</v>
      </c>
      <c r="G15" t="s">
        <v>302</v>
      </c>
      <c r="H15">
        <v>1196</v>
      </c>
      <c r="I15">
        <v>2392</v>
      </c>
      <c r="J15">
        <v>1.29</v>
      </c>
      <c r="K15">
        <v>2.58</v>
      </c>
      <c r="L15">
        <v>0.11</v>
      </c>
      <c r="M15">
        <v>0.22</v>
      </c>
      <c r="N15">
        <v>0</v>
      </c>
      <c r="O15">
        <v>0</v>
      </c>
      <c r="P15">
        <v>0</v>
      </c>
      <c r="Q15">
        <v>0</v>
      </c>
      <c r="R15">
        <v>0</v>
      </c>
      <c r="S15">
        <v>0</v>
      </c>
      <c r="T15">
        <v>0</v>
      </c>
      <c r="U15">
        <v>0</v>
      </c>
      <c r="V15">
        <v>0</v>
      </c>
      <c r="W15" t="s">
        <v>86</v>
      </c>
      <c r="X15" t="s">
        <v>298</v>
      </c>
      <c r="Y15" t="s">
        <v>299</v>
      </c>
    </row>
    <row r="16" spans="1:25">
      <c r="A16">
        <v>14</v>
      </c>
      <c r="B16" t="s">
        <v>304</v>
      </c>
      <c r="C16" t="s">
        <v>296</v>
      </c>
      <c r="D16">
        <v>7</v>
      </c>
      <c r="E16" t="s">
        <v>278</v>
      </c>
      <c r="F16" t="s">
        <v>296</v>
      </c>
      <c r="G16" t="s">
        <v>302</v>
      </c>
      <c r="H16">
        <v>746</v>
      </c>
      <c r="I16">
        <v>5222</v>
      </c>
      <c r="J16">
        <v>0.8</v>
      </c>
      <c r="K16">
        <v>5.6</v>
      </c>
      <c r="L16">
        <v>7.0000000000000007E-2</v>
      </c>
      <c r="M16">
        <v>0.49</v>
      </c>
      <c r="N16">
        <v>0</v>
      </c>
      <c r="O16">
        <v>0</v>
      </c>
      <c r="P16">
        <v>0</v>
      </c>
      <c r="Q16">
        <v>0</v>
      </c>
      <c r="R16">
        <v>0</v>
      </c>
      <c r="S16">
        <v>0</v>
      </c>
      <c r="T16">
        <v>0</v>
      </c>
      <c r="U16">
        <v>0</v>
      </c>
      <c r="V16">
        <v>0</v>
      </c>
      <c r="W16" t="s">
        <v>86</v>
      </c>
      <c r="X16" t="s">
        <v>298</v>
      </c>
      <c r="Y16" t="s">
        <v>299</v>
      </c>
    </row>
    <row r="17" spans="1:25">
      <c r="A17">
        <v>15</v>
      </c>
      <c r="B17" t="s">
        <v>305</v>
      </c>
      <c r="C17" t="s">
        <v>296</v>
      </c>
      <c r="D17">
        <v>2</v>
      </c>
      <c r="E17" t="s">
        <v>278</v>
      </c>
      <c r="F17" t="s">
        <v>296</v>
      </c>
      <c r="G17" t="s">
        <v>302</v>
      </c>
      <c r="H17">
        <v>1146</v>
      </c>
      <c r="I17">
        <v>2292</v>
      </c>
      <c r="J17">
        <v>1.23</v>
      </c>
      <c r="K17">
        <v>2.46</v>
      </c>
      <c r="L17">
        <v>0.105</v>
      </c>
      <c r="M17">
        <v>0.21</v>
      </c>
      <c r="N17">
        <v>0</v>
      </c>
      <c r="O17">
        <v>0</v>
      </c>
      <c r="P17">
        <v>0</v>
      </c>
      <c r="Q17">
        <v>0</v>
      </c>
      <c r="R17">
        <v>0</v>
      </c>
      <c r="S17">
        <v>0</v>
      </c>
      <c r="T17">
        <v>0</v>
      </c>
      <c r="U17">
        <v>0</v>
      </c>
      <c r="V17">
        <v>0</v>
      </c>
      <c r="W17" t="s">
        <v>86</v>
      </c>
      <c r="X17" t="s">
        <v>298</v>
      </c>
      <c r="Y17" t="s">
        <v>299</v>
      </c>
    </row>
    <row r="18" spans="1:25">
      <c r="A18">
        <v>16</v>
      </c>
      <c r="B18" t="s">
        <v>306</v>
      </c>
      <c r="C18" t="s">
        <v>296</v>
      </c>
      <c r="D18">
        <v>2</v>
      </c>
      <c r="E18" t="s">
        <v>278</v>
      </c>
      <c r="F18" t="s">
        <v>296</v>
      </c>
      <c r="G18" t="s">
        <v>302</v>
      </c>
      <c r="H18">
        <v>1146</v>
      </c>
      <c r="I18">
        <v>2292</v>
      </c>
      <c r="J18">
        <v>1.23</v>
      </c>
      <c r="K18">
        <v>2.46</v>
      </c>
      <c r="L18">
        <v>0.105</v>
      </c>
      <c r="M18">
        <v>0.21</v>
      </c>
      <c r="N18">
        <v>0</v>
      </c>
      <c r="O18">
        <v>0</v>
      </c>
      <c r="P18">
        <v>0</v>
      </c>
      <c r="Q18">
        <v>0</v>
      </c>
      <c r="R18">
        <v>0</v>
      </c>
      <c r="S18">
        <v>0</v>
      </c>
      <c r="T18">
        <v>0</v>
      </c>
      <c r="U18">
        <v>0</v>
      </c>
      <c r="V18">
        <v>0</v>
      </c>
      <c r="W18" t="s">
        <v>86</v>
      </c>
      <c r="X18" t="s">
        <v>298</v>
      </c>
      <c r="Y18" t="s">
        <v>299</v>
      </c>
    </row>
    <row r="19" spans="1:25">
      <c r="A19">
        <v>17</v>
      </c>
      <c r="B19" t="s">
        <v>307</v>
      </c>
      <c r="C19" t="s">
        <v>301</v>
      </c>
      <c r="D19">
        <v>1</v>
      </c>
      <c r="E19" t="s">
        <v>278</v>
      </c>
      <c r="F19" t="s">
        <v>296</v>
      </c>
      <c r="G19" t="s">
        <v>308</v>
      </c>
      <c r="H19">
        <v>250</v>
      </c>
      <c r="I19">
        <v>250</v>
      </c>
      <c r="J19">
        <v>0.41</v>
      </c>
      <c r="K19">
        <v>0.41</v>
      </c>
      <c r="L19">
        <v>0.02</v>
      </c>
      <c r="M19">
        <v>0.02</v>
      </c>
      <c r="N19">
        <v>0</v>
      </c>
      <c r="O19">
        <v>0</v>
      </c>
      <c r="P19">
        <v>0</v>
      </c>
      <c r="Q19">
        <v>0</v>
      </c>
      <c r="R19">
        <v>0</v>
      </c>
      <c r="S19">
        <v>0</v>
      </c>
      <c r="T19">
        <v>0</v>
      </c>
      <c r="U19">
        <v>0</v>
      </c>
      <c r="V19">
        <v>0</v>
      </c>
      <c r="W19" t="s">
        <v>86</v>
      </c>
      <c r="X19" t="s">
        <v>298</v>
      </c>
      <c r="Y19" t="s">
        <v>299</v>
      </c>
    </row>
    <row r="21" spans="1:25">
      <c r="A21">
        <v>18</v>
      </c>
      <c r="B21" t="s">
        <v>309</v>
      </c>
      <c r="C21" t="s">
        <v>310</v>
      </c>
      <c r="D21">
        <v>1</v>
      </c>
      <c r="E21" t="s">
        <v>278</v>
      </c>
      <c r="F21" t="s">
        <v>311</v>
      </c>
      <c r="G21">
        <v>1</v>
      </c>
      <c r="H21">
        <v>0</v>
      </c>
      <c r="I21">
        <v>0</v>
      </c>
      <c r="J21">
        <v>8.2899999999999991</v>
      </c>
      <c r="K21">
        <v>8.2899999999999991</v>
      </c>
      <c r="L21">
        <v>2.12</v>
      </c>
      <c r="M21">
        <v>2.12</v>
      </c>
      <c r="N21">
        <v>0</v>
      </c>
      <c r="O21">
        <v>0</v>
      </c>
      <c r="P21">
        <v>0</v>
      </c>
      <c r="Q21">
        <v>0</v>
      </c>
      <c r="R21">
        <v>0</v>
      </c>
      <c r="S21">
        <v>4</v>
      </c>
      <c r="T21">
        <v>6</v>
      </c>
      <c r="U21">
        <v>4212.4799999999996</v>
      </c>
      <c r="V21">
        <v>169.65</v>
      </c>
      <c r="W21" t="s">
        <v>85</v>
      </c>
      <c r="X21" t="s">
        <v>312</v>
      </c>
      <c r="Y21" t="s">
        <v>313</v>
      </c>
    </row>
    <row r="22" spans="1:25">
      <c r="A22">
        <v>19</v>
      </c>
      <c r="B22" t="s">
        <v>314</v>
      </c>
      <c r="C22" t="s">
        <v>315</v>
      </c>
      <c r="D22">
        <v>1</v>
      </c>
      <c r="E22" t="s">
        <v>278</v>
      </c>
      <c r="F22" t="s">
        <v>311</v>
      </c>
      <c r="G22" t="s">
        <v>316</v>
      </c>
      <c r="H22">
        <v>0</v>
      </c>
      <c r="I22">
        <v>0</v>
      </c>
      <c r="J22">
        <v>4.28</v>
      </c>
      <c r="K22">
        <v>4.28</v>
      </c>
      <c r="L22">
        <v>0.73</v>
      </c>
      <c r="M22">
        <v>0.73</v>
      </c>
      <c r="N22">
        <v>0</v>
      </c>
      <c r="O22">
        <v>0</v>
      </c>
      <c r="P22">
        <v>0</v>
      </c>
      <c r="Q22">
        <v>0</v>
      </c>
      <c r="R22">
        <v>0</v>
      </c>
      <c r="S22">
        <v>4</v>
      </c>
      <c r="T22">
        <v>4</v>
      </c>
      <c r="U22">
        <v>3096.54</v>
      </c>
      <c r="V22">
        <v>81.680000000000007</v>
      </c>
      <c r="W22" t="s">
        <v>85</v>
      </c>
      <c r="X22" t="s">
        <v>312</v>
      </c>
      <c r="Y22" t="s">
        <v>313</v>
      </c>
    </row>
    <row r="23" spans="1:25">
      <c r="A23">
        <v>20</v>
      </c>
      <c r="B23" t="s">
        <v>317</v>
      </c>
      <c r="C23" t="s">
        <v>301</v>
      </c>
      <c r="D23">
        <v>2</v>
      </c>
      <c r="E23" t="s">
        <v>278</v>
      </c>
      <c r="F23" t="s">
        <v>311</v>
      </c>
      <c r="G23" t="s">
        <v>316</v>
      </c>
      <c r="H23">
        <v>0</v>
      </c>
      <c r="I23">
        <v>0</v>
      </c>
      <c r="J23">
        <v>0.3</v>
      </c>
      <c r="K23">
        <v>0.6</v>
      </c>
      <c r="L23">
        <v>0.05</v>
      </c>
      <c r="M23">
        <v>0.1</v>
      </c>
      <c r="N23">
        <v>0</v>
      </c>
      <c r="O23">
        <v>0</v>
      </c>
      <c r="P23">
        <v>0</v>
      </c>
      <c r="Q23">
        <v>0</v>
      </c>
      <c r="R23">
        <v>0</v>
      </c>
      <c r="S23">
        <v>1</v>
      </c>
      <c r="T23">
        <v>16</v>
      </c>
      <c r="U23">
        <v>1470.9</v>
      </c>
      <c r="V23">
        <v>420.97</v>
      </c>
      <c r="W23" t="s">
        <v>85</v>
      </c>
      <c r="X23" t="s">
        <v>312</v>
      </c>
      <c r="Y23" t="s">
        <v>313</v>
      </c>
    </row>
    <row r="24" spans="1:25">
      <c r="A24">
        <v>21</v>
      </c>
      <c r="B24" t="s">
        <v>318</v>
      </c>
      <c r="C24" t="s">
        <v>315</v>
      </c>
      <c r="D24">
        <v>2</v>
      </c>
      <c r="E24" t="s">
        <v>278</v>
      </c>
      <c r="F24" t="s">
        <v>311</v>
      </c>
      <c r="G24" t="s">
        <v>316</v>
      </c>
      <c r="H24">
        <v>0</v>
      </c>
      <c r="I24">
        <v>0</v>
      </c>
      <c r="J24">
        <v>2.17</v>
      </c>
      <c r="K24">
        <v>4.34</v>
      </c>
      <c r="L24">
        <v>0.37</v>
      </c>
      <c r="M24">
        <v>0.74</v>
      </c>
      <c r="N24">
        <v>0</v>
      </c>
      <c r="O24">
        <v>0</v>
      </c>
      <c r="P24">
        <v>0</v>
      </c>
      <c r="Q24">
        <v>0</v>
      </c>
      <c r="R24">
        <v>0</v>
      </c>
      <c r="S24">
        <v>3</v>
      </c>
      <c r="T24">
        <v>0</v>
      </c>
      <c r="U24">
        <v>1916.44</v>
      </c>
      <c r="V24">
        <v>0</v>
      </c>
      <c r="W24" t="s">
        <v>85</v>
      </c>
      <c r="X24" t="s">
        <v>312</v>
      </c>
      <c r="Y24" t="s">
        <v>313</v>
      </c>
    </row>
    <row r="25" spans="1:25">
      <c r="A25">
        <v>22</v>
      </c>
      <c r="B25" t="s">
        <v>319</v>
      </c>
      <c r="C25" t="s">
        <v>301</v>
      </c>
      <c r="D25">
        <v>2</v>
      </c>
      <c r="E25" t="s">
        <v>278</v>
      </c>
      <c r="F25" t="s">
        <v>311</v>
      </c>
      <c r="G25" t="s">
        <v>316</v>
      </c>
      <c r="H25">
        <v>0</v>
      </c>
      <c r="I25">
        <v>0</v>
      </c>
      <c r="J25">
        <v>0.32</v>
      </c>
      <c r="K25">
        <v>0.64</v>
      </c>
      <c r="L25">
        <v>0.06</v>
      </c>
      <c r="M25">
        <v>0.12</v>
      </c>
      <c r="N25">
        <v>0</v>
      </c>
      <c r="O25">
        <v>0</v>
      </c>
      <c r="P25">
        <v>0</v>
      </c>
      <c r="Q25">
        <v>0</v>
      </c>
      <c r="R25">
        <v>0</v>
      </c>
      <c r="S25">
        <v>1</v>
      </c>
      <c r="T25">
        <v>16</v>
      </c>
      <c r="U25">
        <v>1569.69</v>
      </c>
      <c r="V25">
        <v>420.97</v>
      </c>
      <c r="W25" t="s">
        <v>85</v>
      </c>
      <c r="X25" t="s">
        <v>312</v>
      </c>
      <c r="Y25" t="s">
        <v>313</v>
      </c>
    </row>
    <row r="26" spans="1:25">
      <c r="A26">
        <v>23</v>
      </c>
      <c r="B26" t="s">
        <v>320</v>
      </c>
      <c r="C26" t="s">
        <v>301</v>
      </c>
      <c r="D26">
        <v>1</v>
      </c>
      <c r="E26" t="s">
        <v>278</v>
      </c>
      <c r="F26" t="s">
        <v>311</v>
      </c>
      <c r="G26" t="s">
        <v>316</v>
      </c>
      <c r="H26">
        <v>0</v>
      </c>
      <c r="I26">
        <v>0</v>
      </c>
      <c r="J26">
        <v>0.7</v>
      </c>
      <c r="K26">
        <v>0.7</v>
      </c>
      <c r="L26">
        <v>0.12</v>
      </c>
      <c r="M26">
        <v>0.12</v>
      </c>
      <c r="N26">
        <v>0</v>
      </c>
      <c r="O26">
        <v>0</v>
      </c>
      <c r="P26">
        <v>0</v>
      </c>
      <c r="Q26">
        <v>0</v>
      </c>
      <c r="R26">
        <v>0</v>
      </c>
      <c r="S26">
        <v>2</v>
      </c>
      <c r="T26">
        <v>10</v>
      </c>
      <c r="U26">
        <v>1698.86</v>
      </c>
      <c r="V26">
        <v>282.74</v>
      </c>
      <c r="W26" t="s">
        <v>85</v>
      </c>
      <c r="X26" t="s">
        <v>312</v>
      </c>
      <c r="Y26" t="s">
        <v>313</v>
      </c>
    </row>
    <row r="27" spans="1:25">
      <c r="A27">
        <v>24</v>
      </c>
      <c r="B27" t="s">
        <v>321</v>
      </c>
      <c r="C27" t="s">
        <v>315</v>
      </c>
      <c r="D27">
        <v>1</v>
      </c>
      <c r="E27" t="s">
        <v>278</v>
      </c>
      <c r="F27" t="s">
        <v>311</v>
      </c>
      <c r="G27" t="s">
        <v>316</v>
      </c>
      <c r="H27">
        <v>0</v>
      </c>
      <c r="I27">
        <v>0</v>
      </c>
      <c r="J27">
        <v>1.92</v>
      </c>
      <c r="K27">
        <v>1.92</v>
      </c>
      <c r="L27">
        <v>0.33</v>
      </c>
      <c r="M27">
        <v>0.33</v>
      </c>
      <c r="N27">
        <v>0</v>
      </c>
      <c r="O27">
        <v>0</v>
      </c>
      <c r="P27">
        <v>0</v>
      </c>
      <c r="Q27">
        <v>0</v>
      </c>
      <c r="R27">
        <v>0</v>
      </c>
      <c r="S27">
        <v>3</v>
      </c>
      <c r="T27">
        <v>3</v>
      </c>
      <c r="U27">
        <v>1765.44</v>
      </c>
      <c r="V27">
        <v>61.26</v>
      </c>
      <c r="W27" t="s">
        <v>85</v>
      </c>
      <c r="X27" t="s">
        <v>312</v>
      </c>
      <c r="Y27" t="s">
        <v>313</v>
      </c>
    </row>
    <row r="28" spans="1:25">
      <c r="A28">
        <v>25</v>
      </c>
      <c r="B28" t="s">
        <v>322</v>
      </c>
      <c r="C28" t="s">
        <v>323</v>
      </c>
      <c r="D28">
        <v>3</v>
      </c>
      <c r="E28" t="s">
        <v>278</v>
      </c>
      <c r="F28" t="s">
        <v>311</v>
      </c>
      <c r="G28" t="s">
        <v>316</v>
      </c>
      <c r="H28">
        <v>0</v>
      </c>
      <c r="I28">
        <v>0</v>
      </c>
      <c r="J28">
        <v>0.23</v>
      </c>
      <c r="K28">
        <v>0.69</v>
      </c>
      <c r="L28">
        <v>0.04</v>
      </c>
      <c r="M28">
        <v>0.12</v>
      </c>
      <c r="N28">
        <v>0</v>
      </c>
      <c r="O28">
        <v>0</v>
      </c>
      <c r="P28">
        <v>0</v>
      </c>
      <c r="Q28">
        <v>0</v>
      </c>
      <c r="R28">
        <v>0</v>
      </c>
      <c r="S28">
        <v>1</v>
      </c>
      <c r="T28">
        <v>4</v>
      </c>
      <c r="U28">
        <v>653.88</v>
      </c>
      <c r="V28">
        <v>137.38999999999999</v>
      </c>
      <c r="W28" t="s">
        <v>85</v>
      </c>
      <c r="X28" t="s">
        <v>312</v>
      </c>
      <c r="Y28" t="s">
        <v>313</v>
      </c>
    </row>
    <row r="29" spans="1:25">
      <c r="A29">
        <v>26</v>
      </c>
      <c r="B29" t="s">
        <v>324</v>
      </c>
      <c r="C29" t="s">
        <v>301</v>
      </c>
      <c r="D29">
        <v>1</v>
      </c>
      <c r="E29" t="s">
        <v>278</v>
      </c>
      <c r="F29" t="s">
        <v>311</v>
      </c>
      <c r="G29" t="s">
        <v>316</v>
      </c>
      <c r="H29">
        <v>0</v>
      </c>
      <c r="I29">
        <v>0</v>
      </c>
      <c r="J29">
        <v>0.39</v>
      </c>
      <c r="K29">
        <v>0.39</v>
      </c>
      <c r="L29">
        <v>7.0000000000000007E-2</v>
      </c>
      <c r="M29">
        <v>7.0000000000000007E-2</v>
      </c>
      <c r="N29">
        <v>0</v>
      </c>
      <c r="O29">
        <v>0</v>
      </c>
      <c r="P29">
        <v>0</v>
      </c>
      <c r="Q29">
        <v>0</v>
      </c>
      <c r="R29">
        <v>0</v>
      </c>
      <c r="S29">
        <v>2</v>
      </c>
      <c r="T29">
        <v>8</v>
      </c>
      <c r="U29">
        <v>1595.77</v>
      </c>
      <c r="V29">
        <v>226.19</v>
      </c>
      <c r="W29" t="s">
        <v>85</v>
      </c>
      <c r="X29" t="s">
        <v>312</v>
      </c>
      <c r="Y29" t="s">
        <v>313</v>
      </c>
    </row>
    <row r="30" spans="1:25">
      <c r="A30">
        <v>27</v>
      </c>
      <c r="B30" t="s">
        <v>325</v>
      </c>
      <c r="C30" t="s">
        <v>326</v>
      </c>
      <c r="D30">
        <v>2</v>
      </c>
      <c r="E30" t="s">
        <v>278</v>
      </c>
      <c r="F30" t="s">
        <v>311</v>
      </c>
      <c r="G30">
        <v>2</v>
      </c>
      <c r="H30">
        <v>0</v>
      </c>
      <c r="I30">
        <v>0</v>
      </c>
      <c r="J30">
        <v>0.09</v>
      </c>
      <c r="K30">
        <v>0.18</v>
      </c>
      <c r="L30">
        <v>0</v>
      </c>
      <c r="M30">
        <v>0</v>
      </c>
      <c r="N30">
        <v>0</v>
      </c>
      <c r="O30">
        <v>0</v>
      </c>
      <c r="P30">
        <v>0</v>
      </c>
      <c r="Q30">
        <v>0</v>
      </c>
      <c r="R30">
        <v>0</v>
      </c>
      <c r="S30">
        <v>1</v>
      </c>
      <c r="T30">
        <v>5</v>
      </c>
      <c r="U30">
        <v>324.37</v>
      </c>
      <c r="V30">
        <v>198.48</v>
      </c>
      <c r="W30" t="s">
        <v>85</v>
      </c>
      <c r="X30" t="s">
        <v>312</v>
      </c>
      <c r="Y30" t="s">
        <v>313</v>
      </c>
    </row>
    <row r="31" spans="1:25">
      <c r="A31">
        <v>28</v>
      </c>
      <c r="B31" t="s">
        <v>327</v>
      </c>
      <c r="C31" t="s">
        <v>301</v>
      </c>
      <c r="D31">
        <v>2</v>
      </c>
      <c r="E31" t="s">
        <v>278</v>
      </c>
      <c r="F31" t="s">
        <v>311</v>
      </c>
      <c r="G31">
        <v>2</v>
      </c>
      <c r="H31">
        <v>0</v>
      </c>
      <c r="I31">
        <v>0</v>
      </c>
      <c r="J31">
        <v>0.65</v>
      </c>
      <c r="K31">
        <v>1.3</v>
      </c>
      <c r="L31">
        <v>0.09</v>
      </c>
      <c r="M31">
        <v>0.18</v>
      </c>
      <c r="N31">
        <v>0</v>
      </c>
      <c r="O31">
        <v>0</v>
      </c>
      <c r="P31">
        <v>0</v>
      </c>
      <c r="Q31">
        <v>0</v>
      </c>
      <c r="R31">
        <v>0</v>
      </c>
      <c r="S31">
        <v>2</v>
      </c>
      <c r="T31">
        <v>24</v>
      </c>
      <c r="U31">
        <v>1555.01</v>
      </c>
      <c r="V31">
        <v>490.09</v>
      </c>
      <c r="W31" t="s">
        <v>85</v>
      </c>
      <c r="X31" t="s">
        <v>312</v>
      </c>
      <c r="Y31" t="s">
        <v>313</v>
      </c>
    </row>
    <row r="32" spans="1:25">
      <c r="A32">
        <v>29</v>
      </c>
      <c r="B32" t="s">
        <v>328</v>
      </c>
      <c r="C32" t="s">
        <v>329</v>
      </c>
      <c r="D32">
        <v>2</v>
      </c>
      <c r="E32" t="s">
        <v>278</v>
      </c>
      <c r="F32" t="s">
        <v>311</v>
      </c>
      <c r="G32">
        <v>2</v>
      </c>
      <c r="H32">
        <v>0</v>
      </c>
      <c r="I32">
        <v>0</v>
      </c>
      <c r="J32">
        <v>0.32</v>
      </c>
      <c r="K32">
        <v>0.64</v>
      </c>
      <c r="L32">
        <v>0.04</v>
      </c>
      <c r="M32">
        <v>0.08</v>
      </c>
      <c r="N32">
        <v>0</v>
      </c>
      <c r="O32">
        <v>0</v>
      </c>
      <c r="P32">
        <v>0</v>
      </c>
      <c r="Q32">
        <v>0</v>
      </c>
      <c r="R32">
        <v>0</v>
      </c>
      <c r="S32">
        <v>2</v>
      </c>
      <c r="T32">
        <v>4</v>
      </c>
      <c r="U32">
        <v>807.01</v>
      </c>
      <c r="V32">
        <v>81.680000000000007</v>
      </c>
      <c r="W32" t="s">
        <v>85</v>
      </c>
      <c r="X32" t="s">
        <v>312</v>
      </c>
      <c r="Y32" t="s">
        <v>313</v>
      </c>
    </row>
    <row r="33" spans="1:25">
      <c r="A33">
        <v>30</v>
      </c>
      <c r="B33" t="s">
        <v>330</v>
      </c>
      <c r="C33" t="s">
        <v>329</v>
      </c>
      <c r="D33">
        <v>1</v>
      </c>
      <c r="E33" t="s">
        <v>278</v>
      </c>
      <c r="F33" t="s">
        <v>311</v>
      </c>
      <c r="G33">
        <v>2</v>
      </c>
      <c r="H33">
        <v>0</v>
      </c>
      <c r="I33">
        <v>0</v>
      </c>
      <c r="J33">
        <v>1.23</v>
      </c>
      <c r="K33">
        <v>1.23</v>
      </c>
      <c r="L33">
        <v>0.16</v>
      </c>
      <c r="M33">
        <v>0.16</v>
      </c>
      <c r="N33">
        <v>0</v>
      </c>
      <c r="O33">
        <v>0</v>
      </c>
      <c r="P33">
        <v>0</v>
      </c>
      <c r="Q33">
        <v>0</v>
      </c>
      <c r="R33">
        <v>0</v>
      </c>
      <c r="S33">
        <v>2</v>
      </c>
      <c r="T33">
        <v>0</v>
      </c>
      <c r="U33">
        <v>2489.0100000000002</v>
      </c>
      <c r="V33">
        <v>0</v>
      </c>
      <c r="W33" t="s">
        <v>85</v>
      </c>
      <c r="X33" t="s">
        <v>312</v>
      </c>
      <c r="Y33" t="s">
        <v>313</v>
      </c>
    </row>
    <row r="34" spans="1:25">
      <c r="A34">
        <v>31</v>
      </c>
      <c r="B34" t="s">
        <v>331</v>
      </c>
      <c r="C34" t="s">
        <v>329</v>
      </c>
      <c r="D34">
        <v>2</v>
      </c>
      <c r="E34" t="s">
        <v>278</v>
      </c>
      <c r="F34" t="s">
        <v>311</v>
      </c>
      <c r="G34">
        <v>2</v>
      </c>
      <c r="H34">
        <v>0</v>
      </c>
      <c r="I34">
        <v>0</v>
      </c>
      <c r="J34">
        <v>0.28000000000000003</v>
      </c>
      <c r="K34">
        <v>0.56000000000000005</v>
      </c>
      <c r="L34">
        <v>0.04</v>
      </c>
      <c r="M34">
        <v>0.08</v>
      </c>
      <c r="N34">
        <v>0</v>
      </c>
      <c r="O34">
        <v>0</v>
      </c>
      <c r="P34">
        <v>0</v>
      </c>
      <c r="Q34">
        <v>0</v>
      </c>
      <c r="R34">
        <v>0</v>
      </c>
      <c r="S34">
        <v>2</v>
      </c>
      <c r="T34">
        <v>10</v>
      </c>
      <c r="U34">
        <v>637.01</v>
      </c>
      <c r="V34">
        <v>204.2</v>
      </c>
      <c r="W34" t="s">
        <v>85</v>
      </c>
      <c r="X34" t="s">
        <v>312</v>
      </c>
      <c r="Y34" t="s">
        <v>313</v>
      </c>
    </row>
    <row r="35" spans="1:25">
      <c r="A35">
        <v>32</v>
      </c>
      <c r="B35" t="s">
        <v>332</v>
      </c>
      <c r="C35" t="s">
        <v>315</v>
      </c>
      <c r="D35">
        <v>1</v>
      </c>
      <c r="E35" t="s">
        <v>278</v>
      </c>
      <c r="F35" t="s">
        <v>311</v>
      </c>
      <c r="G35">
        <v>1</v>
      </c>
      <c r="H35">
        <v>0</v>
      </c>
      <c r="I35">
        <v>0</v>
      </c>
      <c r="J35">
        <v>7.16</v>
      </c>
      <c r="K35">
        <v>7.16</v>
      </c>
      <c r="L35">
        <v>1.83</v>
      </c>
      <c r="M35">
        <v>1.83</v>
      </c>
      <c r="N35">
        <v>0</v>
      </c>
      <c r="O35">
        <v>0</v>
      </c>
      <c r="P35">
        <v>0</v>
      </c>
      <c r="Q35">
        <v>0</v>
      </c>
      <c r="R35">
        <v>0</v>
      </c>
      <c r="S35">
        <v>0</v>
      </c>
      <c r="T35">
        <v>0</v>
      </c>
      <c r="U35">
        <v>3884</v>
      </c>
      <c r="V35">
        <v>0</v>
      </c>
      <c r="W35" t="s">
        <v>85</v>
      </c>
      <c r="X35" t="s">
        <v>333</v>
      </c>
      <c r="Y35" t="s">
        <v>313</v>
      </c>
    </row>
    <row r="36" spans="1:25">
      <c r="A36">
        <v>33</v>
      </c>
      <c r="B36" t="s">
        <v>334</v>
      </c>
      <c r="C36" t="s">
        <v>335</v>
      </c>
      <c r="D36">
        <v>4</v>
      </c>
      <c r="E36" t="s">
        <v>278</v>
      </c>
      <c r="F36" t="s">
        <v>311</v>
      </c>
      <c r="G36">
        <v>2</v>
      </c>
      <c r="H36">
        <v>0</v>
      </c>
      <c r="I36">
        <v>0</v>
      </c>
      <c r="J36">
        <v>0.01</v>
      </c>
      <c r="K36">
        <v>0.04</v>
      </c>
      <c r="L36">
        <v>0</v>
      </c>
      <c r="M36">
        <v>0</v>
      </c>
      <c r="N36">
        <v>0</v>
      </c>
      <c r="O36">
        <v>0</v>
      </c>
      <c r="P36">
        <v>0</v>
      </c>
      <c r="Q36">
        <v>0</v>
      </c>
      <c r="R36">
        <v>0</v>
      </c>
      <c r="S36">
        <v>0</v>
      </c>
      <c r="T36">
        <v>1</v>
      </c>
      <c r="U36">
        <v>94.85</v>
      </c>
      <c r="V36">
        <v>45.38</v>
      </c>
      <c r="W36" t="s">
        <v>85</v>
      </c>
      <c r="X36" t="s">
        <v>333</v>
      </c>
      <c r="Y36" t="s">
        <v>313</v>
      </c>
    </row>
    <row r="37" spans="1:25">
      <c r="A37">
        <v>34</v>
      </c>
      <c r="B37" t="s">
        <v>336</v>
      </c>
      <c r="C37" t="s">
        <v>337</v>
      </c>
      <c r="D37">
        <v>2</v>
      </c>
      <c r="E37" t="s">
        <v>278</v>
      </c>
      <c r="F37" t="s">
        <v>311</v>
      </c>
      <c r="G37">
        <v>2</v>
      </c>
      <c r="H37">
        <v>0</v>
      </c>
      <c r="I37">
        <v>0</v>
      </c>
      <c r="J37">
        <v>0.04</v>
      </c>
      <c r="K37">
        <v>0.08</v>
      </c>
      <c r="L37">
        <v>0</v>
      </c>
      <c r="M37">
        <v>0</v>
      </c>
      <c r="N37">
        <v>0</v>
      </c>
      <c r="O37">
        <v>0</v>
      </c>
      <c r="P37">
        <v>0</v>
      </c>
      <c r="Q37">
        <v>0</v>
      </c>
      <c r="R37">
        <v>0</v>
      </c>
      <c r="S37">
        <v>0</v>
      </c>
      <c r="T37">
        <v>2</v>
      </c>
      <c r="U37">
        <v>249.87</v>
      </c>
      <c r="V37">
        <v>40.840000000000003</v>
      </c>
      <c r="W37" t="s">
        <v>85</v>
      </c>
      <c r="X37" t="s">
        <v>333</v>
      </c>
      <c r="Y37" t="s">
        <v>313</v>
      </c>
    </row>
    <row r="38" spans="1:25">
      <c r="A38">
        <v>35</v>
      </c>
      <c r="B38" t="s">
        <v>338</v>
      </c>
      <c r="C38" t="s">
        <v>339</v>
      </c>
      <c r="D38">
        <v>4</v>
      </c>
      <c r="E38" t="s">
        <v>278</v>
      </c>
      <c r="F38" t="s">
        <v>311</v>
      </c>
      <c r="G38">
        <v>2</v>
      </c>
      <c r="H38">
        <v>0</v>
      </c>
      <c r="I38">
        <v>0</v>
      </c>
      <c r="J38">
        <v>0.1</v>
      </c>
      <c r="K38">
        <v>0.4</v>
      </c>
      <c r="L38">
        <v>0.01</v>
      </c>
      <c r="M38">
        <v>0.04</v>
      </c>
      <c r="N38">
        <v>0</v>
      </c>
      <c r="O38">
        <v>0</v>
      </c>
      <c r="P38">
        <v>0</v>
      </c>
      <c r="Q38">
        <v>0</v>
      </c>
      <c r="R38">
        <v>0</v>
      </c>
      <c r="S38">
        <v>0</v>
      </c>
      <c r="T38">
        <v>0</v>
      </c>
      <c r="U38">
        <v>341.62</v>
      </c>
      <c r="V38">
        <v>0</v>
      </c>
      <c r="W38" t="s">
        <v>85</v>
      </c>
      <c r="X38" t="s">
        <v>333</v>
      </c>
      <c r="Y38" t="s">
        <v>313</v>
      </c>
    </row>
    <row r="39" spans="1:25">
      <c r="A39">
        <v>36</v>
      </c>
      <c r="B39" t="s">
        <v>340</v>
      </c>
      <c r="C39" t="s">
        <v>335</v>
      </c>
      <c r="D39">
        <v>2</v>
      </c>
      <c r="E39" t="s">
        <v>278</v>
      </c>
      <c r="F39" t="s">
        <v>311</v>
      </c>
      <c r="G39">
        <v>2</v>
      </c>
      <c r="H39">
        <v>0</v>
      </c>
      <c r="I39">
        <v>0</v>
      </c>
      <c r="J39">
        <v>0.02</v>
      </c>
      <c r="K39">
        <v>0.04</v>
      </c>
      <c r="L39">
        <v>0</v>
      </c>
      <c r="M39">
        <v>0</v>
      </c>
      <c r="N39">
        <v>0</v>
      </c>
      <c r="O39">
        <v>0</v>
      </c>
      <c r="P39">
        <v>0</v>
      </c>
      <c r="Q39">
        <v>0</v>
      </c>
      <c r="R39">
        <v>0</v>
      </c>
      <c r="S39">
        <v>0</v>
      </c>
      <c r="T39">
        <v>0</v>
      </c>
      <c r="U39">
        <v>144.85</v>
      </c>
      <c r="V39">
        <v>0</v>
      </c>
      <c r="W39" t="s">
        <v>85</v>
      </c>
      <c r="X39" t="s">
        <v>333</v>
      </c>
      <c r="Y39" t="s">
        <v>313</v>
      </c>
    </row>
    <row r="40" spans="1:25">
      <c r="A40">
        <v>37</v>
      </c>
      <c r="B40" t="s">
        <v>341</v>
      </c>
      <c r="C40" t="s">
        <v>342</v>
      </c>
      <c r="D40">
        <v>2</v>
      </c>
      <c r="E40" t="s">
        <v>278</v>
      </c>
      <c r="F40" t="s">
        <v>311</v>
      </c>
      <c r="G40">
        <v>2</v>
      </c>
      <c r="H40">
        <v>0</v>
      </c>
      <c r="I40">
        <v>0</v>
      </c>
      <c r="J40">
        <v>0.08</v>
      </c>
      <c r="K40">
        <v>0.16</v>
      </c>
      <c r="L40">
        <v>0.01</v>
      </c>
      <c r="M40">
        <v>0.02</v>
      </c>
      <c r="N40">
        <v>0</v>
      </c>
      <c r="O40">
        <v>0</v>
      </c>
      <c r="P40">
        <v>0</v>
      </c>
      <c r="Q40">
        <v>0</v>
      </c>
      <c r="R40">
        <v>0</v>
      </c>
      <c r="S40">
        <v>0</v>
      </c>
      <c r="T40">
        <v>4</v>
      </c>
      <c r="U40">
        <v>280</v>
      </c>
      <c r="V40">
        <v>56.55</v>
      </c>
      <c r="W40" t="s">
        <v>85</v>
      </c>
      <c r="X40" t="s">
        <v>333</v>
      </c>
      <c r="Y40" t="s">
        <v>313</v>
      </c>
    </row>
    <row r="41" spans="1:25">
      <c r="A41">
        <v>38</v>
      </c>
      <c r="B41" t="s">
        <v>343</v>
      </c>
      <c r="C41" t="s">
        <v>344</v>
      </c>
      <c r="D41">
        <v>4</v>
      </c>
      <c r="E41" t="s">
        <v>278</v>
      </c>
      <c r="F41" t="s">
        <v>311</v>
      </c>
      <c r="G41">
        <v>2</v>
      </c>
      <c r="H41">
        <v>0</v>
      </c>
      <c r="I41">
        <v>0</v>
      </c>
      <c r="J41">
        <v>0.02</v>
      </c>
      <c r="K41">
        <v>0.08</v>
      </c>
      <c r="L41">
        <v>0</v>
      </c>
      <c r="M41">
        <v>0</v>
      </c>
      <c r="N41">
        <v>0</v>
      </c>
      <c r="O41">
        <v>0</v>
      </c>
      <c r="P41">
        <v>0</v>
      </c>
      <c r="Q41">
        <v>0</v>
      </c>
      <c r="R41">
        <v>0</v>
      </c>
      <c r="S41">
        <v>0</v>
      </c>
      <c r="T41">
        <v>1</v>
      </c>
      <c r="U41">
        <v>125.66</v>
      </c>
      <c r="V41">
        <v>60.62</v>
      </c>
      <c r="W41" t="s">
        <v>85</v>
      </c>
      <c r="X41" t="s">
        <v>333</v>
      </c>
      <c r="Y41" t="s">
        <v>313</v>
      </c>
    </row>
    <row r="42" spans="1:25">
      <c r="A42">
        <v>39</v>
      </c>
      <c r="B42" t="s">
        <v>345</v>
      </c>
      <c r="C42" t="s">
        <v>342</v>
      </c>
      <c r="D42">
        <v>1</v>
      </c>
      <c r="E42" t="s">
        <v>278</v>
      </c>
      <c r="F42" t="s">
        <v>311</v>
      </c>
      <c r="G42">
        <v>3</v>
      </c>
      <c r="H42">
        <v>0</v>
      </c>
      <c r="I42">
        <v>0</v>
      </c>
      <c r="J42">
        <v>0.06</v>
      </c>
      <c r="K42">
        <v>0.06</v>
      </c>
      <c r="L42">
        <v>0.01</v>
      </c>
      <c r="M42">
        <v>0.01</v>
      </c>
      <c r="N42">
        <v>0</v>
      </c>
      <c r="O42">
        <v>0</v>
      </c>
      <c r="P42">
        <v>0</v>
      </c>
      <c r="Q42">
        <v>0</v>
      </c>
      <c r="R42">
        <v>0</v>
      </c>
      <c r="S42">
        <v>0</v>
      </c>
      <c r="T42">
        <v>2</v>
      </c>
      <c r="U42">
        <v>257.82</v>
      </c>
      <c r="V42">
        <v>40.840000000000003</v>
      </c>
      <c r="W42" t="s">
        <v>85</v>
      </c>
      <c r="X42" t="s">
        <v>333</v>
      </c>
      <c r="Y42" t="s">
        <v>313</v>
      </c>
    </row>
    <row r="43" spans="1:25">
      <c r="A43">
        <v>40</v>
      </c>
      <c r="B43" t="s">
        <v>346</v>
      </c>
      <c r="C43" t="s">
        <v>347</v>
      </c>
      <c r="D43">
        <v>1</v>
      </c>
      <c r="E43" t="s">
        <v>278</v>
      </c>
      <c r="F43" t="s">
        <v>311</v>
      </c>
      <c r="G43">
        <v>3</v>
      </c>
      <c r="H43">
        <v>0</v>
      </c>
      <c r="I43">
        <v>0</v>
      </c>
      <c r="J43">
        <v>0.32</v>
      </c>
      <c r="K43">
        <v>0.32</v>
      </c>
      <c r="L43">
        <v>0.03</v>
      </c>
      <c r="M43">
        <v>0.03</v>
      </c>
      <c r="N43">
        <v>0</v>
      </c>
      <c r="O43">
        <v>0</v>
      </c>
      <c r="P43">
        <v>0</v>
      </c>
      <c r="Q43">
        <v>0</v>
      </c>
      <c r="R43">
        <v>0</v>
      </c>
      <c r="S43">
        <v>0</v>
      </c>
      <c r="T43">
        <v>1</v>
      </c>
      <c r="U43">
        <v>442.2</v>
      </c>
      <c r="V43">
        <v>87.96</v>
      </c>
      <c r="W43" t="s">
        <v>85</v>
      </c>
      <c r="X43" t="s">
        <v>333</v>
      </c>
      <c r="Y43" t="s">
        <v>313</v>
      </c>
    </row>
    <row r="44" spans="1:25">
      <c r="A44">
        <v>41</v>
      </c>
      <c r="B44" t="s">
        <v>348</v>
      </c>
      <c r="C44" t="s">
        <v>349</v>
      </c>
      <c r="D44">
        <v>2</v>
      </c>
      <c r="E44" t="s">
        <v>278</v>
      </c>
      <c r="F44" t="s">
        <v>311</v>
      </c>
      <c r="G44">
        <v>4</v>
      </c>
      <c r="H44">
        <v>0</v>
      </c>
      <c r="I44">
        <v>0</v>
      </c>
      <c r="J44">
        <v>7.0000000000000007E-2</v>
      </c>
      <c r="K44">
        <v>0.14000000000000001</v>
      </c>
      <c r="L44">
        <v>0.01</v>
      </c>
      <c r="M44">
        <v>0.02</v>
      </c>
      <c r="N44">
        <v>0</v>
      </c>
      <c r="O44">
        <v>0</v>
      </c>
      <c r="P44">
        <v>0</v>
      </c>
      <c r="Q44">
        <v>0</v>
      </c>
      <c r="R44">
        <v>0</v>
      </c>
      <c r="S44">
        <v>0</v>
      </c>
      <c r="T44">
        <v>2</v>
      </c>
      <c r="U44">
        <v>240</v>
      </c>
      <c r="V44">
        <v>40.840000000000003</v>
      </c>
      <c r="W44" t="s">
        <v>85</v>
      </c>
      <c r="X44" t="s">
        <v>333</v>
      </c>
      <c r="Y44" t="s">
        <v>313</v>
      </c>
    </row>
    <row r="46" spans="1:25">
      <c r="A46">
        <v>42</v>
      </c>
      <c r="B46" t="s">
        <v>350</v>
      </c>
      <c r="C46" t="s">
        <v>351</v>
      </c>
      <c r="D46">
        <v>1</v>
      </c>
      <c r="E46" t="s">
        <v>278</v>
      </c>
      <c r="F46" t="s">
        <v>279</v>
      </c>
      <c r="G46">
        <v>3</v>
      </c>
      <c r="H46">
        <v>0</v>
      </c>
      <c r="I46">
        <v>0</v>
      </c>
      <c r="J46">
        <v>1.8</v>
      </c>
      <c r="K46">
        <v>1.8</v>
      </c>
      <c r="L46">
        <v>0.31</v>
      </c>
      <c r="M46">
        <v>0.31</v>
      </c>
      <c r="N46">
        <v>0</v>
      </c>
      <c r="O46">
        <v>0</v>
      </c>
      <c r="P46">
        <v>0</v>
      </c>
      <c r="Q46">
        <v>0</v>
      </c>
      <c r="R46">
        <v>0</v>
      </c>
      <c r="S46">
        <v>0</v>
      </c>
      <c r="T46">
        <v>0</v>
      </c>
      <c r="U46">
        <v>0</v>
      </c>
      <c r="V46">
        <v>0</v>
      </c>
      <c r="W46" t="s">
        <v>86</v>
      </c>
      <c r="X46" t="s">
        <v>352</v>
      </c>
      <c r="Y46" t="s">
        <v>299</v>
      </c>
    </row>
    <row r="47" spans="1:25">
      <c r="A47">
        <v>43</v>
      </c>
      <c r="B47" t="s">
        <v>353</v>
      </c>
      <c r="C47" t="s">
        <v>354</v>
      </c>
      <c r="D47">
        <v>1</v>
      </c>
      <c r="E47" t="s">
        <v>278</v>
      </c>
      <c r="F47" t="s">
        <v>279</v>
      </c>
      <c r="G47">
        <v>3</v>
      </c>
      <c r="H47">
        <v>0</v>
      </c>
      <c r="I47">
        <v>0</v>
      </c>
      <c r="J47">
        <v>1.63</v>
      </c>
      <c r="K47">
        <v>1.63</v>
      </c>
      <c r="L47">
        <v>0.28000000000000003</v>
      </c>
      <c r="M47">
        <v>0.28000000000000003</v>
      </c>
      <c r="N47">
        <v>0</v>
      </c>
      <c r="O47">
        <v>0</v>
      </c>
      <c r="P47">
        <v>0</v>
      </c>
      <c r="Q47">
        <v>0</v>
      </c>
      <c r="R47">
        <v>0</v>
      </c>
      <c r="S47">
        <v>0</v>
      </c>
      <c r="T47">
        <v>0</v>
      </c>
      <c r="U47">
        <v>0</v>
      </c>
      <c r="V47">
        <v>0</v>
      </c>
      <c r="W47" t="s">
        <v>85</v>
      </c>
      <c r="X47" t="s">
        <v>352</v>
      </c>
      <c r="Y47" t="s">
        <v>299</v>
      </c>
    </row>
    <row r="48" spans="1:25">
      <c r="A48">
        <v>44</v>
      </c>
      <c r="B48" t="s">
        <v>355</v>
      </c>
      <c r="C48" t="s">
        <v>356</v>
      </c>
      <c r="D48">
        <v>2</v>
      </c>
      <c r="E48" t="s">
        <v>278</v>
      </c>
      <c r="F48" t="s">
        <v>279</v>
      </c>
      <c r="G48">
        <v>3</v>
      </c>
      <c r="H48">
        <v>0</v>
      </c>
      <c r="I48">
        <v>0</v>
      </c>
      <c r="J48">
        <v>0.37</v>
      </c>
      <c r="K48">
        <v>0.74</v>
      </c>
      <c r="L48">
        <v>0.06</v>
      </c>
      <c r="M48">
        <v>0.12</v>
      </c>
      <c r="N48">
        <v>0</v>
      </c>
      <c r="O48">
        <v>0</v>
      </c>
      <c r="P48">
        <v>0</v>
      </c>
      <c r="Q48">
        <v>0</v>
      </c>
      <c r="R48">
        <v>0</v>
      </c>
      <c r="S48">
        <v>0</v>
      </c>
      <c r="T48">
        <v>0</v>
      </c>
      <c r="U48">
        <v>0</v>
      </c>
      <c r="V48">
        <v>0</v>
      </c>
      <c r="W48" t="s">
        <v>85</v>
      </c>
      <c r="X48" t="s">
        <v>352</v>
      </c>
      <c r="Y48" t="s">
        <v>299</v>
      </c>
    </row>
    <row r="50" spans="1:22">
      <c r="A50">
        <v>45</v>
      </c>
      <c r="B50" t="s">
        <v>357</v>
      </c>
      <c r="C50" t="s">
        <v>357</v>
      </c>
      <c r="D50">
        <v>4</v>
      </c>
      <c r="E50" t="s">
        <v>172</v>
      </c>
      <c r="H50">
        <v>0</v>
      </c>
      <c r="I50">
        <v>0</v>
      </c>
      <c r="J50">
        <v>0.01</v>
      </c>
      <c r="K50">
        <v>0.04</v>
      </c>
      <c r="L50">
        <v>0</v>
      </c>
      <c r="M50">
        <v>0</v>
      </c>
      <c r="N50">
        <v>0</v>
      </c>
      <c r="O50">
        <v>0</v>
      </c>
      <c r="P50">
        <v>0</v>
      </c>
      <c r="Q50">
        <v>0</v>
      </c>
      <c r="R50">
        <v>0</v>
      </c>
      <c r="S50">
        <v>0</v>
      </c>
      <c r="T50">
        <v>0</v>
      </c>
      <c r="U50">
        <v>0</v>
      </c>
      <c r="V50">
        <v>0</v>
      </c>
    </row>
    <row r="52" spans="1:22">
      <c r="A52">
        <v>46</v>
      </c>
      <c r="B52" t="s">
        <v>358</v>
      </c>
      <c r="C52" t="s">
        <v>359</v>
      </c>
      <c r="D52">
        <v>12</v>
      </c>
      <c r="E52" t="s">
        <v>172</v>
      </c>
      <c r="H52">
        <v>0</v>
      </c>
      <c r="I52">
        <v>0</v>
      </c>
      <c r="J52">
        <v>0</v>
      </c>
      <c r="K52">
        <v>0</v>
      </c>
      <c r="L52">
        <v>0</v>
      </c>
      <c r="M52">
        <v>0</v>
      </c>
      <c r="N52">
        <v>0</v>
      </c>
      <c r="O52">
        <v>0</v>
      </c>
      <c r="P52">
        <v>0</v>
      </c>
      <c r="Q52">
        <v>0</v>
      </c>
      <c r="R52">
        <v>0</v>
      </c>
      <c r="S52">
        <v>0</v>
      </c>
      <c r="T52">
        <v>0</v>
      </c>
      <c r="U52">
        <v>0</v>
      </c>
      <c r="V52">
        <v>0</v>
      </c>
    </row>
    <row r="53" spans="1:22">
      <c r="A53">
        <v>47</v>
      </c>
      <c r="B53" t="s">
        <v>358</v>
      </c>
      <c r="C53" t="s">
        <v>360</v>
      </c>
      <c r="D53">
        <v>6</v>
      </c>
      <c r="E53" t="s">
        <v>172</v>
      </c>
      <c r="H53">
        <v>0</v>
      </c>
      <c r="I53">
        <v>0</v>
      </c>
      <c r="J53">
        <v>0</v>
      </c>
      <c r="K53">
        <v>0</v>
      </c>
      <c r="L53">
        <v>0</v>
      </c>
      <c r="M53">
        <v>0</v>
      </c>
      <c r="N53">
        <v>0</v>
      </c>
      <c r="O53">
        <v>0</v>
      </c>
      <c r="P53">
        <v>0</v>
      </c>
      <c r="Q53">
        <v>0</v>
      </c>
      <c r="R53">
        <v>0</v>
      </c>
      <c r="S53">
        <v>0</v>
      </c>
      <c r="T53">
        <v>0</v>
      </c>
      <c r="U53">
        <v>0</v>
      </c>
      <c r="V53">
        <v>0</v>
      </c>
    </row>
    <row r="54" spans="1:22">
      <c r="A54">
        <v>48</v>
      </c>
      <c r="B54" t="s">
        <v>361</v>
      </c>
      <c r="C54" t="s">
        <v>362</v>
      </c>
      <c r="D54">
        <v>12</v>
      </c>
      <c r="E54" t="s">
        <v>172</v>
      </c>
      <c r="H54">
        <v>0</v>
      </c>
      <c r="I54">
        <v>0</v>
      </c>
      <c r="J54">
        <v>0</v>
      </c>
      <c r="K54">
        <v>0</v>
      </c>
      <c r="L54">
        <v>0</v>
      </c>
      <c r="M54">
        <v>0</v>
      </c>
      <c r="N54">
        <v>0</v>
      </c>
      <c r="O54">
        <v>0</v>
      </c>
      <c r="P54">
        <v>0</v>
      </c>
      <c r="Q54">
        <v>0</v>
      </c>
      <c r="R54">
        <v>0</v>
      </c>
      <c r="S54">
        <v>0</v>
      </c>
      <c r="T54">
        <v>0</v>
      </c>
      <c r="U54">
        <v>0</v>
      </c>
      <c r="V54">
        <v>0</v>
      </c>
    </row>
    <row r="55" spans="1:22">
      <c r="A55">
        <v>49</v>
      </c>
      <c r="B55" t="s">
        <v>361</v>
      </c>
      <c r="C55" t="s">
        <v>363</v>
      </c>
      <c r="D55">
        <v>6</v>
      </c>
      <c r="E55" t="s">
        <v>172</v>
      </c>
      <c r="H55">
        <v>0</v>
      </c>
      <c r="I55">
        <v>0</v>
      </c>
      <c r="J55">
        <v>0</v>
      </c>
      <c r="K55">
        <v>0</v>
      </c>
      <c r="L55">
        <v>0</v>
      </c>
      <c r="M55">
        <v>0</v>
      </c>
      <c r="N55">
        <v>0</v>
      </c>
      <c r="O55">
        <v>0</v>
      </c>
      <c r="P55">
        <v>0</v>
      </c>
      <c r="Q55">
        <v>0</v>
      </c>
      <c r="R55">
        <v>0</v>
      </c>
      <c r="S55">
        <v>0</v>
      </c>
      <c r="T55">
        <v>0</v>
      </c>
      <c r="U55">
        <v>0</v>
      </c>
      <c r="V55">
        <v>0</v>
      </c>
    </row>
    <row r="56" spans="1:22">
      <c r="A56">
        <v>50</v>
      </c>
      <c r="B56" t="s">
        <v>364</v>
      </c>
      <c r="C56" t="s">
        <v>365</v>
      </c>
      <c r="D56">
        <v>4</v>
      </c>
      <c r="E56" t="s">
        <v>172</v>
      </c>
      <c r="H56">
        <v>0</v>
      </c>
      <c r="I56">
        <v>0</v>
      </c>
      <c r="J56">
        <v>0</v>
      </c>
      <c r="K56">
        <v>0</v>
      </c>
      <c r="L56">
        <v>0</v>
      </c>
      <c r="M56">
        <v>0</v>
      </c>
      <c r="N56">
        <v>0</v>
      </c>
      <c r="O56">
        <v>0</v>
      </c>
      <c r="P56">
        <v>0</v>
      </c>
      <c r="Q56">
        <v>0</v>
      </c>
      <c r="R56">
        <v>0</v>
      </c>
      <c r="S56">
        <v>0</v>
      </c>
      <c r="T56">
        <v>0</v>
      </c>
      <c r="U56">
        <v>0</v>
      </c>
      <c r="V56">
        <v>0</v>
      </c>
    </row>
    <row r="57" spans="1:22">
      <c r="A57">
        <v>51</v>
      </c>
      <c r="B57" t="s">
        <v>366</v>
      </c>
      <c r="C57" t="s">
        <v>367</v>
      </c>
      <c r="D57">
        <v>2</v>
      </c>
      <c r="E57" t="s">
        <v>172</v>
      </c>
      <c r="H57">
        <v>0</v>
      </c>
      <c r="I57">
        <v>0</v>
      </c>
      <c r="J57">
        <v>0</v>
      </c>
      <c r="K57">
        <v>0</v>
      </c>
      <c r="L57">
        <v>0</v>
      </c>
      <c r="M57">
        <v>0</v>
      </c>
      <c r="N57">
        <v>0</v>
      </c>
      <c r="O57">
        <v>0</v>
      </c>
      <c r="P57">
        <v>0</v>
      </c>
      <c r="Q57">
        <v>0</v>
      </c>
      <c r="R57">
        <v>0</v>
      </c>
      <c r="S57">
        <v>0</v>
      </c>
      <c r="T57">
        <v>0</v>
      </c>
      <c r="U57">
        <v>0</v>
      </c>
      <c r="V57">
        <v>0</v>
      </c>
    </row>
    <row r="58" spans="1:22">
      <c r="A58">
        <v>52</v>
      </c>
      <c r="B58" t="s">
        <v>366</v>
      </c>
      <c r="C58" t="s">
        <v>368</v>
      </c>
      <c r="D58">
        <v>8</v>
      </c>
      <c r="E58" t="s">
        <v>172</v>
      </c>
      <c r="H58">
        <v>0</v>
      </c>
      <c r="I58">
        <v>0</v>
      </c>
      <c r="J58">
        <v>0</v>
      </c>
      <c r="K58">
        <v>0</v>
      </c>
      <c r="L58">
        <v>0</v>
      </c>
      <c r="M58">
        <v>0</v>
      </c>
      <c r="N58">
        <v>0</v>
      </c>
      <c r="O58">
        <v>0</v>
      </c>
      <c r="P58">
        <v>0</v>
      </c>
      <c r="Q58">
        <v>0</v>
      </c>
      <c r="R58">
        <v>0</v>
      </c>
      <c r="S58">
        <v>0</v>
      </c>
      <c r="T58">
        <v>0</v>
      </c>
      <c r="U58">
        <v>0</v>
      </c>
      <c r="V58">
        <v>0</v>
      </c>
    </row>
    <row r="59" spans="1:22">
      <c r="A59">
        <v>53</v>
      </c>
      <c r="B59" t="s">
        <v>366</v>
      </c>
      <c r="C59" t="s">
        <v>369</v>
      </c>
      <c r="D59">
        <v>6</v>
      </c>
      <c r="E59" t="s">
        <v>172</v>
      </c>
      <c r="H59">
        <v>0</v>
      </c>
      <c r="I59">
        <v>0</v>
      </c>
      <c r="J59">
        <v>0</v>
      </c>
      <c r="K59">
        <v>0</v>
      </c>
      <c r="L59">
        <v>0</v>
      </c>
      <c r="M59">
        <v>0</v>
      </c>
      <c r="N59">
        <v>0</v>
      </c>
      <c r="O59">
        <v>0</v>
      </c>
      <c r="P59">
        <v>0</v>
      </c>
      <c r="Q59">
        <v>0</v>
      </c>
      <c r="R59">
        <v>0</v>
      </c>
      <c r="S59">
        <v>0</v>
      </c>
      <c r="T59">
        <v>0</v>
      </c>
      <c r="U59">
        <v>0</v>
      </c>
      <c r="V59">
        <v>0</v>
      </c>
    </row>
    <row r="60" spans="1:22">
      <c r="A60">
        <v>54</v>
      </c>
      <c r="B60" t="s">
        <v>366</v>
      </c>
      <c r="C60" t="s">
        <v>370</v>
      </c>
      <c r="D60">
        <v>4</v>
      </c>
      <c r="E60" t="s">
        <v>172</v>
      </c>
      <c r="H60">
        <v>0</v>
      </c>
      <c r="I60">
        <v>0</v>
      </c>
      <c r="J60">
        <v>0</v>
      </c>
      <c r="K60">
        <v>0</v>
      </c>
      <c r="L60">
        <v>0</v>
      </c>
      <c r="M60">
        <v>0</v>
      </c>
      <c r="N60">
        <v>0</v>
      </c>
      <c r="O60">
        <v>0</v>
      </c>
      <c r="P60">
        <v>0</v>
      </c>
      <c r="Q60">
        <v>0</v>
      </c>
      <c r="R60">
        <v>0</v>
      </c>
      <c r="S60">
        <v>0</v>
      </c>
      <c r="T60">
        <v>0</v>
      </c>
      <c r="U60">
        <v>0</v>
      </c>
      <c r="V60">
        <v>0</v>
      </c>
    </row>
    <row r="61" spans="1:22">
      <c r="A61">
        <v>55</v>
      </c>
      <c r="B61" t="s">
        <v>371</v>
      </c>
      <c r="C61" t="s">
        <v>372</v>
      </c>
      <c r="D61">
        <v>26</v>
      </c>
      <c r="E61" t="s">
        <v>172</v>
      </c>
      <c r="H61">
        <v>0</v>
      </c>
      <c r="I61">
        <v>0</v>
      </c>
      <c r="J61">
        <v>0</v>
      </c>
      <c r="K61">
        <v>0</v>
      </c>
      <c r="L61">
        <v>0</v>
      </c>
      <c r="M61">
        <v>0</v>
      </c>
      <c r="N61">
        <v>0</v>
      </c>
      <c r="O61">
        <v>0</v>
      </c>
      <c r="P61">
        <v>0</v>
      </c>
      <c r="Q61">
        <v>0</v>
      </c>
      <c r="R61">
        <v>0</v>
      </c>
      <c r="S61">
        <v>0</v>
      </c>
      <c r="T61">
        <v>0</v>
      </c>
      <c r="U61">
        <v>0</v>
      </c>
      <c r="V61">
        <v>0</v>
      </c>
    </row>
    <row r="62" spans="1:22">
      <c r="A62">
        <v>56</v>
      </c>
      <c r="B62" t="s">
        <v>371</v>
      </c>
      <c r="C62" t="s">
        <v>373</v>
      </c>
      <c r="D62">
        <v>12</v>
      </c>
      <c r="E62" t="s">
        <v>172</v>
      </c>
      <c r="H62">
        <v>0</v>
      </c>
      <c r="I62">
        <v>0</v>
      </c>
      <c r="J62">
        <v>0</v>
      </c>
      <c r="K62">
        <v>0</v>
      </c>
      <c r="L62">
        <v>0</v>
      </c>
      <c r="M62">
        <v>0</v>
      </c>
      <c r="N62">
        <v>0</v>
      </c>
      <c r="O62">
        <v>0</v>
      </c>
      <c r="P62">
        <v>0</v>
      </c>
      <c r="Q62">
        <v>0</v>
      </c>
      <c r="R62">
        <v>0</v>
      </c>
      <c r="S62">
        <v>0</v>
      </c>
      <c r="T62">
        <v>0</v>
      </c>
      <c r="U62">
        <v>0</v>
      </c>
      <c r="V62">
        <v>0</v>
      </c>
    </row>
    <row r="63" spans="1:22">
      <c r="A63">
        <v>57</v>
      </c>
      <c r="B63" t="s">
        <v>374</v>
      </c>
      <c r="C63" t="s">
        <v>375</v>
      </c>
      <c r="D63">
        <v>2</v>
      </c>
      <c r="E63" t="s">
        <v>172</v>
      </c>
      <c r="H63">
        <v>0</v>
      </c>
      <c r="I63">
        <v>0</v>
      </c>
      <c r="J63">
        <v>0</v>
      </c>
      <c r="K63">
        <v>0</v>
      </c>
      <c r="L63">
        <v>0</v>
      </c>
      <c r="M63">
        <v>0</v>
      </c>
      <c r="N63">
        <v>0</v>
      </c>
      <c r="O63">
        <v>0</v>
      </c>
      <c r="P63">
        <v>0</v>
      </c>
      <c r="Q63">
        <v>0</v>
      </c>
      <c r="R63">
        <v>0</v>
      </c>
      <c r="S63">
        <v>0</v>
      </c>
      <c r="T63">
        <v>0</v>
      </c>
      <c r="U63">
        <v>0</v>
      </c>
      <c r="V63">
        <v>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16"/>
  <sheetViews>
    <sheetView tabSelected="1" zoomScale="109" zoomScaleNormal="85" workbookViewId="0">
      <pane ySplit="2" topLeftCell="A49" activePane="bottomLeft" state="frozen"/>
      <selection pane="bottomLeft" activeCell="E53" sqref="E53"/>
    </sheetView>
  </sheetViews>
  <sheetFormatPr baseColWidth="10" defaultColWidth="9.25" defaultRowHeight="16" outlineLevelRow="1"/>
  <cols>
    <col min="1" max="1" width="4.75" style="1" customWidth="1"/>
    <col min="2" max="2" width="10.25" style="1" customWidth="1"/>
    <col min="3" max="3" width="35.25" style="1" customWidth="1"/>
    <col min="4" max="4" width="25.75" style="1" customWidth="1"/>
    <col min="5" max="5" width="11.25" style="1" customWidth="1"/>
    <col min="6" max="6" width="14.25" style="1" customWidth="1"/>
    <col min="7" max="7" width="24.75" style="1" customWidth="1"/>
    <col min="8" max="8" width="35" style="1" customWidth="1"/>
    <col min="9" max="9" width="19.5" style="1" customWidth="1"/>
    <col min="10" max="10" width="27" style="1" customWidth="1"/>
    <col min="11" max="11" width="19.5" style="1" bestFit="1" customWidth="1"/>
    <col min="12" max="12" width="24.75" style="1" bestFit="1" customWidth="1"/>
    <col min="13" max="13" width="33.5" style="1" customWidth="1"/>
    <col min="14" max="14" width="30.25" style="1" bestFit="1" customWidth="1"/>
    <col min="15" max="15" width="19.5" style="1" bestFit="1" customWidth="1"/>
    <col min="16" max="16" width="24.75" style="1" bestFit="1" customWidth="1"/>
    <col min="17" max="16384" width="9.25" style="1"/>
  </cols>
  <sheetData>
    <row r="1" spans="1:15" ht="26.25" customHeight="1" thickBot="1">
      <c r="B1" s="247" t="s">
        <v>81</v>
      </c>
      <c r="C1" s="247"/>
      <c r="D1" s="82" t="s">
        <v>376</v>
      </c>
      <c r="E1" s="256" t="s">
        <v>270</v>
      </c>
      <c r="F1" s="256"/>
      <c r="G1" s="256"/>
      <c r="H1" s="256"/>
      <c r="I1" s="256"/>
      <c r="J1" s="182"/>
      <c r="K1"/>
      <c r="L1"/>
    </row>
    <row r="2" spans="1:15" ht="17" thickBot="1">
      <c r="B2" s="251" t="s">
        <v>79</v>
      </c>
      <c r="C2" s="252"/>
      <c r="D2" s="86">
        <v>1</v>
      </c>
      <c r="E2" s="256"/>
      <c r="F2" s="256"/>
      <c r="G2" s="256"/>
      <c r="H2" s="256"/>
      <c r="I2" s="256"/>
      <c r="J2" s="182"/>
      <c r="K2"/>
      <c r="L2"/>
    </row>
    <row r="3" spans="1:15" ht="217.5" customHeight="1">
      <c r="A3" s="81" t="s">
        <v>71</v>
      </c>
      <c r="B3" s="254"/>
      <c r="C3" s="254"/>
      <c r="D3" s="254"/>
      <c r="E3" s="253"/>
      <c r="F3" s="253"/>
      <c r="G3" s="253"/>
      <c r="H3" s="253"/>
      <c r="L3"/>
      <c r="N3" s="193" t="str">
        <f>F72</f>
        <v>размер фонда</v>
      </c>
      <c r="O3" s="1" t="str">
        <f>G72</f>
        <v>получено из сметы</v>
      </c>
    </row>
    <row r="4" spans="1:15" ht="31.5" customHeight="1">
      <c r="B4" s="255" t="s">
        <v>72</v>
      </c>
      <c r="C4" s="255"/>
      <c r="D4" s="29" t="s">
        <v>377</v>
      </c>
      <c r="E4" s="257" t="s">
        <v>269</v>
      </c>
      <c r="F4" s="258"/>
      <c r="G4" s="259"/>
      <c r="H4" s="25">
        <v>4</v>
      </c>
      <c r="I4" s="209" t="s">
        <v>177</v>
      </c>
      <c r="J4" s="209">
        <f>H66/D6</f>
        <v>319.52350080901209</v>
      </c>
      <c r="K4" s="209" t="s">
        <v>178</v>
      </c>
      <c r="L4"/>
    </row>
    <row r="5" spans="1:15">
      <c r="B5" s="248" t="s">
        <v>73</v>
      </c>
      <c r="C5" s="248"/>
      <c r="D5" s="29" t="s">
        <v>378</v>
      </c>
      <c r="I5"/>
      <c r="J5"/>
      <c r="K5"/>
      <c r="L5"/>
      <c r="M5" s="1" t="str">
        <f>B73</f>
        <v>Услуги</v>
      </c>
      <c r="N5" s="187">
        <f>F73</f>
        <v>0.191</v>
      </c>
      <c r="O5" s="187">
        <f>G73</f>
        <v>0.16355641274248964</v>
      </c>
    </row>
    <row r="6" spans="1:15">
      <c r="B6" s="248" t="s">
        <v>74</v>
      </c>
      <c r="C6" s="248"/>
      <c r="D6" s="25">
        <v>66.3</v>
      </c>
      <c r="I6"/>
      <c r="J6"/>
      <c r="K6"/>
      <c r="L6"/>
      <c r="M6" s="1" t="str">
        <f>B76</f>
        <v>Материальная часть</v>
      </c>
      <c r="N6" s="187">
        <f>F76</f>
        <v>0.30599999999999999</v>
      </c>
      <c r="O6" s="187">
        <f>G76</f>
        <v>0.10610946711529294</v>
      </c>
    </row>
    <row r="7" spans="1:15">
      <c r="B7" s="248" t="s">
        <v>75</v>
      </c>
      <c r="C7" s="248"/>
      <c r="D7" s="25" t="s">
        <v>379</v>
      </c>
      <c r="I7"/>
      <c r="J7"/>
      <c r="K7"/>
      <c r="L7"/>
      <c r="M7" s="1">
        <f>B79</f>
        <v>0</v>
      </c>
      <c r="N7" s="187">
        <f>F79</f>
        <v>0.11599999999999999</v>
      </c>
      <c r="O7" s="187">
        <f>G79</f>
        <v>0.2884932700988358</v>
      </c>
    </row>
    <row r="8" spans="1:15">
      <c r="B8" s="248" t="s">
        <v>76</v>
      </c>
      <c r="C8" s="248"/>
      <c r="D8" s="25">
        <v>7035</v>
      </c>
      <c r="I8"/>
      <c r="J8"/>
      <c r="K8"/>
      <c r="L8"/>
      <c r="M8" s="1" t="str">
        <f>B85</f>
        <v>Расходы на снабжение</v>
      </c>
      <c r="N8" s="187">
        <f>F85</f>
        <v>4.3999999999999997E-2</v>
      </c>
      <c r="O8" s="187">
        <f>G85</f>
        <v>2.6966587985778261E-2</v>
      </c>
    </row>
    <row r="9" spans="1:15">
      <c r="B9" s="250" t="s">
        <v>78</v>
      </c>
      <c r="C9" s="250"/>
      <c r="D9" s="28">
        <v>1</v>
      </c>
      <c r="I9"/>
      <c r="J9"/>
      <c r="K9"/>
      <c r="L9"/>
      <c r="M9" s="1" t="str">
        <f>B93</f>
        <v>Маржа на работу</v>
      </c>
      <c r="N9" s="187">
        <f>F93</f>
        <v>4.9999999999999996E-2</v>
      </c>
      <c r="O9" s="187">
        <f>G93</f>
        <v>8.6547981029650736E-2</v>
      </c>
    </row>
    <row r="10" spans="1:15" ht="27" customHeight="1">
      <c r="B10" s="249" t="s">
        <v>77</v>
      </c>
      <c r="C10" s="249"/>
      <c r="D10" s="249"/>
      <c r="E10" s="249"/>
      <c r="F10" s="249"/>
      <c r="G10" s="249"/>
      <c r="H10" s="249"/>
      <c r="I10"/>
      <c r="J10"/>
      <c r="K10"/>
      <c r="L10"/>
      <c r="M10" s="1" t="str">
        <f>B98</f>
        <v>Наценка торговая</v>
      </c>
      <c r="N10" s="187">
        <f>F98</f>
        <v>0.29300000000000004</v>
      </c>
      <c r="O10" s="187">
        <f>G98</f>
        <v>0.20150211569161419</v>
      </c>
    </row>
    <row r="11" spans="1:15" ht="100.5" customHeight="1">
      <c r="B11" s="246" t="s">
        <v>380</v>
      </c>
      <c r="C11" s="246"/>
      <c r="D11" s="246"/>
      <c r="E11" s="246"/>
      <c r="F11" s="246"/>
      <c r="G11" s="246"/>
      <c r="H11" s="246"/>
      <c r="I11"/>
      <c r="J11"/>
      <c r="K11"/>
      <c r="L11"/>
    </row>
    <row r="12" spans="1:15">
      <c r="I12"/>
      <c r="J12"/>
      <c r="K12"/>
      <c r="L12"/>
    </row>
    <row r="13" spans="1:15" ht="27.75" customHeight="1">
      <c r="B13" s="260" t="s">
        <v>18</v>
      </c>
      <c r="C13" s="260"/>
      <c r="D13" s="260"/>
      <c r="E13" s="260"/>
      <c r="F13" s="260"/>
      <c r="G13" s="260"/>
      <c r="H13" s="260"/>
      <c r="I13"/>
      <c r="J13"/>
      <c r="K13"/>
      <c r="L13"/>
    </row>
    <row r="14" spans="1:15">
      <c r="I14"/>
      <c r="J14"/>
      <c r="K14"/>
      <c r="L14"/>
    </row>
    <row r="15" spans="1:15" ht="77.25" customHeight="1">
      <c r="B15" s="3" t="s">
        <v>0</v>
      </c>
      <c r="C15" s="3" t="s">
        <v>1</v>
      </c>
      <c r="D15" s="3" t="s">
        <v>2</v>
      </c>
      <c r="E15" s="3" t="s">
        <v>3</v>
      </c>
      <c r="F15" s="3" t="s">
        <v>4</v>
      </c>
      <c r="G15" s="9" t="s">
        <v>264</v>
      </c>
      <c r="H15" s="9" t="s">
        <v>265</v>
      </c>
      <c r="I15" s="9" t="s">
        <v>266</v>
      </c>
      <c r="J15" s="9" t="s">
        <v>267</v>
      </c>
      <c r="K15" s="9" t="s">
        <v>268</v>
      </c>
      <c r="L15"/>
    </row>
    <row r="16" spans="1:15" ht="24.75" customHeight="1">
      <c r="B16" s="261" t="s">
        <v>173</v>
      </c>
      <c r="C16" s="262"/>
      <c r="D16" s="262"/>
      <c r="E16" s="262"/>
      <c r="F16" s="262"/>
      <c r="G16" s="263"/>
      <c r="H16" s="7">
        <f>SUM(H17:H25)</f>
        <v>5158.5251851249986</v>
      </c>
      <c r="I16" s="12"/>
      <c r="J16" s="12"/>
      <c r="K16" s="12"/>
      <c r="L16"/>
    </row>
    <row r="17" spans="2:12">
      <c r="B17" s="25">
        <v>1</v>
      </c>
      <c r="C17" s="174" t="s">
        <v>82</v>
      </c>
      <c r="D17" s="243" t="s">
        <v>83</v>
      </c>
      <c r="E17" s="244"/>
      <c r="F17" s="244"/>
      <c r="G17" s="245"/>
      <c r="H17" s="205">
        <f>Лазер[[#Totals],[Стоимость 
комплекта, руб без НДС]]</f>
        <v>5148.5251851249986</v>
      </c>
      <c r="I17" s="12"/>
      <c r="J17" s="207"/>
      <c r="K17" s="12"/>
      <c r="L17"/>
    </row>
    <row r="18" spans="2:12">
      <c r="B18" s="25">
        <v>2</v>
      </c>
      <c r="C18" s="174" t="s">
        <v>82</v>
      </c>
      <c r="D18" s="243" t="s">
        <v>154</v>
      </c>
      <c r="E18" s="244"/>
      <c r="F18" s="244"/>
      <c r="G18" s="245"/>
      <c r="H18" s="205">
        <v>0</v>
      </c>
      <c r="I18" s="12"/>
      <c r="J18" s="12"/>
      <c r="K18" s="12"/>
      <c r="L18"/>
    </row>
    <row r="19" spans="2:12">
      <c r="B19" s="25">
        <v>3</v>
      </c>
      <c r="C19" s="174" t="s">
        <v>82</v>
      </c>
      <c r="D19" s="243" t="s">
        <v>252</v>
      </c>
      <c r="E19" s="244"/>
      <c r="F19" s="244"/>
      <c r="G19" s="245"/>
      <c r="H19" s="205">
        <v>0</v>
      </c>
      <c r="I19" s="12"/>
      <c r="J19" s="12"/>
      <c r="K19" s="12"/>
      <c r="L19"/>
    </row>
    <row r="20" spans="2:12">
      <c r="B20" s="25">
        <v>4</v>
      </c>
      <c r="C20" s="174" t="s">
        <v>82</v>
      </c>
      <c r="D20" s="243" t="s">
        <v>155</v>
      </c>
      <c r="E20" s="244"/>
      <c r="F20" s="244"/>
      <c r="G20" s="245"/>
      <c r="H20" s="205">
        <v>10</v>
      </c>
      <c r="I20" s="12"/>
      <c r="J20" s="12"/>
      <c r="K20" s="12"/>
      <c r="L20"/>
    </row>
    <row r="21" spans="2:12">
      <c r="B21" s="25">
        <v>5</v>
      </c>
      <c r="C21" s="174" t="s">
        <v>82</v>
      </c>
      <c r="D21" s="243" t="s">
        <v>174</v>
      </c>
      <c r="E21" s="244"/>
      <c r="F21" s="244"/>
      <c r="G21" s="245"/>
      <c r="H21" s="205">
        <v>0</v>
      </c>
      <c r="I21" s="12"/>
      <c r="J21" s="12"/>
      <c r="K21" s="12"/>
      <c r="L21"/>
    </row>
    <row r="22" spans="2:12">
      <c r="B22" s="25">
        <v>6</v>
      </c>
      <c r="C22" s="174" t="s">
        <v>82</v>
      </c>
      <c r="D22" s="243" t="s">
        <v>156</v>
      </c>
      <c r="E22" s="244"/>
      <c r="F22" s="244"/>
      <c r="G22" s="245"/>
      <c r="H22" s="205">
        <v>0</v>
      </c>
      <c r="I22" s="12"/>
      <c r="J22" s="12"/>
      <c r="K22" s="12"/>
      <c r="L22"/>
    </row>
    <row r="23" spans="2:12">
      <c r="B23" s="25">
        <v>7</v>
      </c>
      <c r="C23" s="174" t="s">
        <v>82</v>
      </c>
      <c r="D23" s="243" t="s">
        <v>181</v>
      </c>
      <c r="E23" s="244"/>
      <c r="F23" s="244"/>
      <c r="G23" s="245"/>
      <c r="H23" s="205">
        <v>0</v>
      </c>
      <c r="I23" s="12"/>
      <c r="J23" s="12"/>
      <c r="K23" s="12"/>
      <c r="L23"/>
    </row>
    <row r="24" spans="2:12">
      <c r="B24" s="25">
        <v>8</v>
      </c>
      <c r="C24" s="174" t="s">
        <v>82</v>
      </c>
      <c r="D24" s="243" t="s">
        <v>253</v>
      </c>
      <c r="E24" s="244"/>
      <c r="F24" s="244"/>
      <c r="G24" s="245"/>
      <c r="H24" s="205">
        <v>0</v>
      </c>
      <c r="I24" s="12"/>
      <c r="J24" s="12"/>
      <c r="K24" s="12"/>
      <c r="L24"/>
    </row>
    <row r="25" spans="2:12">
      <c r="B25" s="25">
        <v>9</v>
      </c>
      <c r="C25" s="174" t="s">
        <v>82</v>
      </c>
      <c r="D25" s="243" t="s">
        <v>183</v>
      </c>
      <c r="E25" s="244"/>
      <c r="F25" s="244"/>
      <c r="G25" s="245"/>
      <c r="H25" s="205">
        <v>0</v>
      </c>
      <c r="I25" s="12"/>
      <c r="J25" s="12"/>
      <c r="K25" s="12"/>
      <c r="L25"/>
    </row>
    <row r="26" spans="2:12" ht="27" customHeight="1">
      <c r="B26" s="261" t="s">
        <v>175</v>
      </c>
      <c r="C26" s="262"/>
      <c r="D26" s="262"/>
      <c r="E26" s="262"/>
      <c r="F26" s="262"/>
      <c r="G26" s="263"/>
      <c r="H26" s="7">
        <f>SUM($H$27:$H$44)</f>
        <v>3346.6640000000007</v>
      </c>
      <c r="I26" s="12"/>
      <c r="J26" s="12"/>
      <c r="K26" s="12"/>
      <c r="L26"/>
    </row>
    <row r="27" spans="2:12" ht="17">
      <c r="B27" s="25">
        <v>1</v>
      </c>
      <c r="C27" s="8" t="s">
        <v>32</v>
      </c>
      <c r="D27" s="33" t="s">
        <v>379</v>
      </c>
      <c r="E27" s="8" t="s">
        <v>381</v>
      </c>
      <c r="F27" s="87">
        <v>2.8980000000000001</v>
      </c>
      <c r="G27" s="8">
        <v>450</v>
      </c>
      <c r="H27" s="219">
        <f>$F$27*$G$27</f>
        <v>1304.1000000000001</v>
      </c>
      <c r="I27" s="12"/>
      <c r="J27" s="12"/>
      <c r="K27" s="12"/>
      <c r="L27"/>
    </row>
    <row r="28" spans="2:12" ht="17">
      <c r="B28" s="220">
        <v>2</v>
      </c>
      <c r="C28" s="221" t="s">
        <v>32</v>
      </c>
      <c r="D28" s="222" t="s">
        <v>382</v>
      </c>
      <c r="E28" s="221" t="s">
        <v>381</v>
      </c>
      <c r="F28" s="223">
        <v>4.17</v>
      </c>
      <c r="G28" s="221">
        <v>78</v>
      </c>
      <c r="H28" s="224">
        <f>$F$28*$G$28</f>
        <v>325.26</v>
      </c>
      <c r="I28" s="12"/>
      <c r="J28" s="12"/>
      <c r="K28" s="12"/>
      <c r="L28"/>
    </row>
    <row r="29" spans="2:12" ht="17">
      <c r="B29" s="220">
        <v>3</v>
      </c>
      <c r="C29" s="221" t="s">
        <v>32</v>
      </c>
      <c r="D29" s="222" t="s">
        <v>383</v>
      </c>
      <c r="E29" s="221" t="s">
        <v>384</v>
      </c>
      <c r="F29" s="223">
        <v>3.3220000000000001</v>
      </c>
      <c r="G29" s="221">
        <v>44</v>
      </c>
      <c r="H29" s="224">
        <f>$F$29*$G$29</f>
        <v>146.16800000000001</v>
      </c>
      <c r="I29" s="12"/>
      <c r="J29" s="12"/>
      <c r="K29" s="12"/>
      <c r="L29"/>
    </row>
    <row r="30" spans="2:12" ht="17">
      <c r="B30" s="220">
        <v>4</v>
      </c>
      <c r="C30" s="221" t="s">
        <v>32</v>
      </c>
      <c r="D30" s="222" t="s">
        <v>385</v>
      </c>
      <c r="E30" s="221" t="s">
        <v>384</v>
      </c>
      <c r="F30" s="223">
        <v>17.039000000000001</v>
      </c>
      <c r="G30" s="221">
        <v>74</v>
      </c>
      <c r="H30" s="224">
        <f>$F$30*$G$30</f>
        <v>1260.8860000000002</v>
      </c>
      <c r="I30" s="12"/>
      <c r="J30" s="12"/>
      <c r="K30" s="12"/>
      <c r="L30"/>
    </row>
    <row r="31" spans="2:12" ht="51">
      <c r="B31" s="220">
        <v>5</v>
      </c>
      <c r="C31" s="221" t="s">
        <v>32</v>
      </c>
      <c r="D31" s="222" t="s">
        <v>386</v>
      </c>
      <c r="E31" s="221" t="s">
        <v>384</v>
      </c>
      <c r="F31" s="223">
        <v>0.27500000000000002</v>
      </c>
      <c r="G31" s="221">
        <v>110</v>
      </c>
      <c r="H31" s="224">
        <f>$F$31*$G$31</f>
        <v>30.250000000000004</v>
      </c>
      <c r="I31" s="12"/>
      <c r="J31" s="12"/>
      <c r="K31" s="12"/>
      <c r="L31"/>
    </row>
    <row r="32" spans="2:12" ht="34">
      <c r="B32" s="220">
        <v>6</v>
      </c>
      <c r="C32" s="221" t="s">
        <v>172</v>
      </c>
      <c r="D32" s="222" t="s">
        <v>365</v>
      </c>
      <c r="E32" s="221" t="s">
        <v>387</v>
      </c>
      <c r="F32" s="223">
        <v>4</v>
      </c>
      <c r="G32" s="221">
        <v>11</v>
      </c>
      <c r="H32" s="224">
        <f>$F$32*$G$32</f>
        <v>44</v>
      </c>
      <c r="I32" s="12"/>
      <c r="J32" s="12"/>
      <c r="K32" s="12"/>
      <c r="L32"/>
    </row>
    <row r="33" spans="2:12" ht="34">
      <c r="B33" s="220">
        <v>7</v>
      </c>
      <c r="C33" s="221" t="s">
        <v>172</v>
      </c>
      <c r="D33" s="222" t="s">
        <v>367</v>
      </c>
      <c r="E33" s="221" t="s">
        <v>387</v>
      </c>
      <c r="F33" s="223">
        <v>2</v>
      </c>
      <c r="G33" s="221">
        <v>4</v>
      </c>
      <c r="H33" s="224">
        <f>$F$33*$G$33</f>
        <v>8</v>
      </c>
      <c r="I33" s="12"/>
      <c r="J33" s="12"/>
      <c r="K33" s="12"/>
      <c r="L33"/>
    </row>
    <row r="34" spans="2:12" ht="34">
      <c r="B34" s="220">
        <v>8</v>
      </c>
      <c r="C34" s="221" t="s">
        <v>172</v>
      </c>
      <c r="D34" s="222" t="s">
        <v>370</v>
      </c>
      <c r="E34" s="221" t="s">
        <v>387</v>
      </c>
      <c r="F34" s="223">
        <v>4</v>
      </c>
      <c r="G34" s="221">
        <v>4</v>
      </c>
      <c r="H34" s="224">
        <f>$F$34*$G$34</f>
        <v>16</v>
      </c>
      <c r="I34" s="12"/>
      <c r="J34" s="12"/>
      <c r="K34" s="12"/>
      <c r="L34"/>
    </row>
    <row r="35" spans="2:12" ht="34">
      <c r="B35" s="220">
        <v>9</v>
      </c>
      <c r="C35" s="221" t="s">
        <v>172</v>
      </c>
      <c r="D35" s="222" t="s">
        <v>368</v>
      </c>
      <c r="E35" s="221" t="s">
        <v>387</v>
      </c>
      <c r="F35" s="223">
        <v>8</v>
      </c>
      <c r="G35" s="221">
        <v>5</v>
      </c>
      <c r="H35" s="224">
        <f>$F$35*$G$35</f>
        <v>40</v>
      </c>
      <c r="I35" s="12"/>
      <c r="J35" s="12"/>
      <c r="K35" s="12"/>
      <c r="L35"/>
    </row>
    <row r="36" spans="2:12" ht="34">
      <c r="B36" s="220">
        <v>10</v>
      </c>
      <c r="C36" s="221" t="s">
        <v>172</v>
      </c>
      <c r="D36" s="222" t="s">
        <v>369</v>
      </c>
      <c r="E36" s="221" t="s">
        <v>387</v>
      </c>
      <c r="F36" s="223">
        <v>6</v>
      </c>
      <c r="G36" s="221">
        <v>3</v>
      </c>
      <c r="H36" s="224">
        <f>$F$36*$G$36</f>
        <v>18</v>
      </c>
      <c r="I36" s="12"/>
      <c r="J36" s="12"/>
      <c r="K36" s="12"/>
      <c r="L36"/>
    </row>
    <row r="37" spans="2:12" ht="34">
      <c r="B37" s="220">
        <v>11</v>
      </c>
      <c r="C37" s="221" t="s">
        <v>172</v>
      </c>
      <c r="D37" s="222" t="s">
        <v>362</v>
      </c>
      <c r="E37" s="221" t="s">
        <v>387</v>
      </c>
      <c r="F37" s="223">
        <v>12</v>
      </c>
      <c r="G37" s="221">
        <v>2</v>
      </c>
      <c r="H37" s="224">
        <f>$F$37*$G$37</f>
        <v>24</v>
      </c>
      <c r="I37" s="12"/>
      <c r="J37" s="12"/>
      <c r="K37" s="12"/>
      <c r="L37"/>
    </row>
    <row r="38" spans="2:12" ht="34">
      <c r="B38" s="220">
        <v>12</v>
      </c>
      <c r="C38" s="221" t="s">
        <v>172</v>
      </c>
      <c r="D38" s="222" t="s">
        <v>363</v>
      </c>
      <c r="E38" s="221" t="s">
        <v>387</v>
      </c>
      <c r="F38" s="223">
        <v>6</v>
      </c>
      <c r="G38" s="221">
        <v>3</v>
      </c>
      <c r="H38" s="224">
        <f>$F$38*$G$38</f>
        <v>18</v>
      </c>
      <c r="I38" s="12"/>
      <c r="J38" s="12"/>
      <c r="K38" s="12"/>
      <c r="L38"/>
    </row>
    <row r="39" spans="2:12" ht="34">
      <c r="B39" s="220">
        <v>13</v>
      </c>
      <c r="C39" s="221" t="s">
        <v>172</v>
      </c>
      <c r="D39" s="222" t="s">
        <v>375</v>
      </c>
      <c r="E39" s="221" t="s">
        <v>387</v>
      </c>
      <c r="F39" s="223">
        <v>2</v>
      </c>
      <c r="G39" s="221">
        <v>2</v>
      </c>
      <c r="H39" s="224">
        <f>$F$39*$G$39</f>
        <v>4</v>
      </c>
      <c r="I39" s="12"/>
      <c r="J39" s="12"/>
      <c r="K39" s="12"/>
      <c r="L39"/>
    </row>
    <row r="40" spans="2:12" ht="34">
      <c r="B40" s="220">
        <v>14</v>
      </c>
      <c r="C40" s="221" t="s">
        <v>172</v>
      </c>
      <c r="D40" s="222" t="s">
        <v>357</v>
      </c>
      <c r="E40" s="221" t="s">
        <v>387</v>
      </c>
      <c r="F40" s="223">
        <v>4</v>
      </c>
      <c r="G40" s="221">
        <v>13</v>
      </c>
      <c r="H40" s="224">
        <f>$F$40*$G$40</f>
        <v>52</v>
      </c>
      <c r="I40" s="12"/>
      <c r="J40" s="12"/>
      <c r="K40" s="12"/>
      <c r="L40"/>
    </row>
    <row r="41" spans="2:12" ht="34">
      <c r="B41" s="220">
        <v>15</v>
      </c>
      <c r="C41" s="221" t="s">
        <v>172</v>
      </c>
      <c r="D41" s="222" t="s">
        <v>372</v>
      </c>
      <c r="E41" s="221" t="s">
        <v>387</v>
      </c>
      <c r="F41" s="223">
        <v>26</v>
      </c>
      <c r="G41" s="221">
        <v>1</v>
      </c>
      <c r="H41" s="224">
        <f>$F$41*$G$41</f>
        <v>26</v>
      </c>
      <c r="I41" s="12"/>
      <c r="J41" s="12"/>
      <c r="K41" s="12"/>
      <c r="L41"/>
    </row>
    <row r="42" spans="2:12" ht="34">
      <c r="B42" s="220">
        <v>16</v>
      </c>
      <c r="C42" s="221" t="s">
        <v>172</v>
      </c>
      <c r="D42" s="222" t="s">
        <v>373</v>
      </c>
      <c r="E42" s="221" t="s">
        <v>387</v>
      </c>
      <c r="F42" s="223">
        <v>12</v>
      </c>
      <c r="G42" s="221">
        <v>1</v>
      </c>
      <c r="H42" s="224">
        <f>$F$42*$G$42</f>
        <v>12</v>
      </c>
      <c r="I42" s="12"/>
      <c r="J42" s="12"/>
      <c r="K42" s="12"/>
      <c r="L42"/>
    </row>
    <row r="43" spans="2:12" ht="34">
      <c r="B43" s="220">
        <v>17</v>
      </c>
      <c r="C43" s="221" t="s">
        <v>172</v>
      </c>
      <c r="D43" s="222" t="s">
        <v>359</v>
      </c>
      <c r="E43" s="221" t="s">
        <v>387</v>
      </c>
      <c r="F43" s="223">
        <v>12</v>
      </c>
      <c r="G43" s="221">
        <v>1</v>
      </c>
      <c r="H43" s="224">
        <f>$F$43*$G$43</f>
        <v>12</v>
      </c>
      <c r="I43" s="12"/>
      <c r="J43" s="12"/>
      <c r="K43" s="12"/>
      <c r="L43"/>
    </row>
    <row r="44" spans="2:12" ht="34">
      <c r="B44" s="220">
        <v>18</v>
      </c>
      <c r="C44" s="221" t="s">
        <v>172</v>
      </c>
      <c r="D44" s="222" t="s">
        <v>360</v>
      </c>
      <c r="E44" s="221" t="s">
        <v>387</v>
      </c>
      <c r="F44" s="223">
        <v>6</v>
      </c>
      <c r="G44" s="221">
        <v>1</v>
      </c>
      <c r="H44" s="224">
        <f>$F$44*$G$44</f>
        <v>6</v>
      </c>
      <c r="I44" s="12"/>
      <c r="J44" s="12"/>
      <c r="K44" s="12"/>
      <c r="L44"/>
    </row>
    <row r="45" spans="2:12">
      <c r="E45" s="267" t="s">
        <v>185</v>
      </c>
      <c r="F45" s="267"/>
      <c r="G45" s="267"/>
      <c r="H45" s="183">
        <f>H26+H16</f>
        <v>8505.1891851250002</v>
      </c>
      <c r="I45" s="12"/>
      <c r="J45" s="12"/>
      <c r="K45" s="12"/>
      <c r="L45"/>
    </row>
    <row r="46" spans="2:12">
      <c r="E46" s="34">
        <v>0.1</v>
      </c>
      <c r="F46" s="185" t="s">
        <v>191</v>
      </c>
      <c r="H46" s="35">
        <f>E46*H45</f>
        <v>850.51891851250002</v>
      </c>
      <c r="I46" s="12"/>
      <c r="J46" s="12"/>
      <c r="K46" s="12"/>
      <c r="L46"/>
    </row>
    <row r="47" spans="2:12">
      <c r="I47" s="12"/>
      <c r="J47" s="12"/>
      <c r="K47" s="12"/>
      <c r="L47"/>
    </row>
    <row r="48" spans="2:12" ht="26.25" customHeight="1">
      <c r="B48" s="264" t="s">
        <v>16</v>
      </c>
      <c r="C48" s="265"/>
      <c r="D48" s="265"/>
      <c r="E48" s="265"/>
      <c r="F48" s="265"/>
      <c r="G48" s="265"/>
      <c r="H48" s="265"/>
      <c r="I48" s="265"/>
      <c r="J48" s="265"/>
      <c r="K48" s="266"/>
      <c r="L48"/>
    </row>
    <row r="49" spans="2:15">
      <c r="I49" s="25"/>
      <c r="J49" s="25"/>
      <c r="K49" s="25"/>
    </row>
    <row r="50" spans="2:15" ht="61.5" customHeight="1">
      <c r="B50" s="3" t="s">
        <v>15</v>
      </c>
      <c r="C50" s="228" t="s">
        <v>11</v>
      </c>
      <c r="D50" s="229" t="s">
        <v>451</v>
      </c>
      <c r="E50" s="3" t="s">
        <v>4</v>
      </c>
      <c r="F50" s="3" t="s">
        <v>6</v>
      </c>
      <c r="G50" s="9" t="s">
        <v>19</v>
      </c>
      <c r="H50" s="206" t="s">
        <v>20</v>
      </c>
      <c r="I50" s="3" t="s">
        <v>452</v>
      </c>
      <c r="J50" s="25" t="s">
        <v>453</v>
      </c>
      <c r="K50" s="25" t="s">
        <v>454</v>
      </c>
      <c r="L50" s="1" t="s">
        <v>455</v>
      </c>
    </row>
    <row r="51" spans="2:15" ht="17">
      <c r="B51" s="4">
        <v>1</v>
      </c>
      <c r="C51" s="201" t="s">
        <v>80</v>
      </c>
      <c r="D51" s="202"/>
      <c r="E51" s="230">
        <v>1</v>
      </c>
      <c r="F51" s="231"/>
      <c r="G51" s="232"/>
      <c r="H51" s="205">
        <f>'Оценка сетки'!J157</f>
        <v>144.74154999999996</v>
      </c>
      <c r="I51" s="3"/>
      <c r="J51" s="25"/>
      <c r="K51" s="25"/>
    </row>
    <row r="52" spans="2:15" ht="17">
      <c r="B52" s="4">
        <v>2</v>
      </c>
      <c r="C52" s="201" t="s">
        <v>111</v>
      </c>
      <c r="D52" s="202"/>
      <c r="E52" s="225"/>
      <c r="F52" s="226"/>
      <c r="G52" s="227"/>
      <c r="H52" s="205">
        <f>SUM('Оценка фрезеровки'!$N$2:$N$51)</f>
        <v>0</v>
      </c>
      <c r="I52" s="3"/>
      <c r="J52" s="25"/>
      <c r="K52" s="25"/>
    </row>
    <row r="53" spans="2:15" ht="48.75" customHeight="1">
      <c r="B53" s="4">
        <v>3</v>
      </c>
      <c r="C53" s="201" t="s">
        <v>263</v>
      </c>
      <c r="D53" s="202"/>
      <c r="E53" s="4">
        <v>22</v>
      </c>
      <c r="F53" s="4">
        <f>IF(($D$2*E53)&gt;40,0.0085,IF(AND(8&lt;=($D$2*E53),($D$2*E53)&lt;=40),0.034,0.051))*2</f>
        <v>6.8000000000000005E-2</v>
      </c>
      <c r="G53" s="204">
        <f>IF($D$2&gt;40,600,IF(AND(8&lt;=$D$2,$D$2&lt;=40),600,750))</f>
        <v>750</v>
      </c>
      <c r="H53" s="205">
        <f>E53*F53*G53</f>
        <v>1122</v>
      </c>
      <c r="I53" s="4"/>
      <c r="J53" s="25"/>
      <c r="K53" s="25"/>
    </row>
    <row r="54" spans="2:15" ht="34.5" customHeight="1">
      <c r="B54" s="4">
        <v>4</v>
      </c>
      <c r="C54" s="201" t="s">
        <v>26</v>
      </c>
      <c r="D54" s="202"/>
      <c r="E54" s="4">
        <v>0</v>
      </c>
      <c r="F54" s="4">
        <f>IF(($D$2*E54)&gt;40,0.017,IF(AND(8&lt;=($D$2*E54),($D$2*E54)&lt;=40),0.0425,0.085))*3</f>
        <v>0.255</v>
      </c>
      <c r="G54" s="204">
        <f t="shared" ref="G54:G61" si="0">IF($D$2&gt;40,600,IF(AND(8&lt;=$D$2,$D$2&lt;=40),600,750))</f>
        <v>750</v>
      </c>
      <c r="H54" s="205">
        <f>E54*F54*G54</f>
        <v>0</v>
      </c>
      <c r="I54" s="4"/>
      <c r="J54" s="25"/>
      <c r="K54" s="25"/>
    </row>
    <row r="55" spans="2:15" ht="17">
      <c r="B55" s="4">
        <v>5</v>
      </c>
      <c r="C55" s="201" t="s">
        <v>172</v>
      </c>
      <c r="D55" s="202"/>
      <c r="E55" s="4">
        <v>28</v>
      </c>
      <c r="F55" s="4">
        <v>8.5000000000000006E-3</v>
      </c>
      <c r="G55" s="204">
        <f t="shared" si="0"/>
        <v>750</v>
      </c>
      <c r="H55" s="205">
        <f t="shared" ref="H55:H58" si="1">E55*F55*G55</f>
        <v>178.5</v>
      </c>
      <c r="I55" s="4"/>
      <c r="J55" s="25"/>
      <c r="K55" s="25"/>
    </row>
    <row r="56" spans="2:15" ht="17">
      <c r="B56" s="4">
        <v>6</v>
      </c>
      <c r="C56" s="201" t="s">
        <v>28</v>
      </c>
      <c r="D56" s="202"/>
      <c r="E56" s="4">
        <v>0</v>
      </c>
      <c r="F56" s="4">
        <v>3.4000000000000002E-2</v>
      </c>
      <c r="G56" s="204">
        <f t="shared" si="0"/>
        <v>750</v>
      </c>
      <c r="H56" s="205">
        <f>IF(E56&gt;0,(E56*F56*G56+((60/D2)*0.017*G56)),0)</f>
        <v>0</v>
      </c>
      <c r="I56" s="4"/>
      <c r="J56" s="25"/>
      <c r="K56" s="25"/>
    </row>
    <row r="57" spans="2:15" ht="17">
      <c r="B57" s="4">
        <v>7</v>
      </c>
      <c r="C57" s="201" t="s">
        <v>182</v>
      </c>
      <c r="D57" s="202"/>
      <c r="E57" s="4">
        <v>0</v>
      </c>
      <c r="F57" s="4">
        <v>1.7000000000000001E-2</v>
      </c>
      <c r="G57" s="204">
        <f t="shared" si="0"/>
        <v>750</v>
      </c>
      <c r="H57" s="205">
        <f t="shared" ref="H57" si="2">E57*F57*G57</f>
        <v>0</v>
      </c>
      <c r="I57" s="4"/>
      <c r="J57" s="25"/>
      <c r="K57" s="25"/>
    </row>
    <row r="58" spans="2:15" ht="17">
      <c r="B58" s="4">
        <v>8</v>
      </c>
      <c r="C58" s="201" t="s">
        <v>27</v>
      </c>
      <c r="D58" s="202"/>
      <c r="E58" s="4">
        <v>0</v>
      </c>
      <c r="F58" s="4">
        <v>1.7000000000000001E-2</v>
      </c>
      <c r="G58" s="204">
        <f t="shared" si="0"/>
        <v>750</v>
      </c>
      <c r="H58" s="205">
        <f t="shared" si="1"/>
        <v>0</v>
      </c>
      <c r="I58" s="4"/>
      <c r="J58" s="25"/>
      <c r="K58" s="25"/>
    </row>
    <row r="59" spans="2:15" ht="17">
      <c r="B59" s="4">
        <v>9</v>
      </c>
      <c r="C59" s="201" t="s">
        <v>25</v>
      </c>
      <c r="D59" s="202"/>
      <c r="E59" s="4">
        <v>0</v>
      </c>
      <c r="F59" s="4">
        <f>IF(($D$2*E59)&gt;40,0.0085,IF(AND(8&lt;=($D$2*E59),($D$2*E59)&lt;=40),0.014,0.034))</f>
        <v>3.4000000000000002E-2</v>
      </c>
      <c r="G59" s="204">
        <f t="shared" si="0"/>
        <v>750</v>
      </c>
      <c r="H59" s="205">
        <f t="shared" ref="H59" si="3">E59*F59*G59</f>
        <v>0</v>
      </c>
      <c r="I59" s="4"/>
      <c r="J59" s="25"/>
      <c r="K59" s="25"/>
    </row>
    <row r="60" spans="2:15" ht="15.75" customHeight="1">
      <c r="B60" s="4">
        <v>10</v>
      </c>
      <c r="C60" s="201" t="s">
        <v>12</v>
      </c>
      <c r="D60" s="202"/>
      <c r="E60" s="4">
        <v>45</v>
      </c>
      <c r="F60" s="4">
        <v>1.7000000000000001E-2</v>
      </c>
      <c r="G60" s="204">
        <f t="shared" si="0"/>
        <v>750</v>
      </c>
      <c r="H60" s="205">
        <f t="shared" ref="H60:H62" si="4">E60*F60*G60</f>
        <v>573.75</v>
      </c>
      <c r="I60" s="4"/>
      <c r="J60" s="25"/>
      <c r="K60" s="25"/>
    </row>
    <row r="61" spans="2:15" ht="17">
      <c r="B61" s="4">
        <v>11</v>
      </c>
      <c r="C61" s="201" t="s">
        <v>13</v>
      </c>
      <c r="D61" s="202"/>
      <c r="E61" s="4">
        <v>45</v>
      </c>
      <c r="F61" s="4">
        <v>1.7000000000000001E-2</v>
      </c>
      <c r="G61" s="204">
        <f t="shared" si="0"/>
        <v>750</v>
      </c>
      <c r="H61" s="205">
        <f t="shared" si="4"/>
        <v>573.75</v>
      </c>
      <c r="I61" s="4"/>
      <c r="J61" s="25"/>
      <c r="K61" s="25"/>
    </row>
    <row r="62" spans="2:15" ht="17">
      <c r="B62" s="4">
        <v>12</v>
      </c>
      <c r="C62" s="201" t="s">
        <v>112</v>
      </c>
      <c r="D62" s="202"/>
      <c r="E62" s="4">
        <v>9.66</v>
      </c>
      <c r="F62" s="4">
        <v>1</v>
      </c>
      <c r="G62" s="4">
        <v>220</v>
      </c>
      <c r="H62" s="205">
        <f t="shared" si="4"/>
        <v>2125.1999999999998</v>
      </c>
      <c r="I62" s="4"/>
      <c r="J62" s="25"/>
      <c r="K62" s="25"/>
    </row>
    <row r="63" spans="2:15" ht="15.75" customHeight="1">
      <c r="B63" s="4">
        <v>13</v>
      </c>
      <c r="C63" s="201" t="s">
        <v>14</v>
      </c>
      <c r="D63" s="202"/>
      <c r="E63" s="4">
        <v>0</v>
      </c>
      <c r="F63" s="4"/>
      <c r="G63" s="6"/>
      <c r="H63" s="205">
        <f>SUM(J119:J409)</f>
        <v>4587.5869999999995</v>
      </c>
      <c r="I63" s="4"/>
      <c r="J63" s="28"/>
      <c r="K63" s="28"/>
    </row>
    <row r="64" spans="2:15" ht="17">
      <c r="B64" s="4">
        <v>14</v>
      </c>
      <c r="C64" s="201" t="s">
        <v>456</v>
      </c>
      <c r="D64" s="202"/>
      <c r="E64" s="4">
        <v>0</v>
      </c>
      <c r="F64" s="4"/>
      <c r="G64" s="6"/>
      <c r="H64" s="205">
        <v>9099</v>
      </c>
      <c r="J64" s="233" t="s">
        <v>271</v>
      </c>
      <c r="K64" s="233"/>
      <c r="L64" s="233"/>
      <c r="O64" s="187"/>
    </row>
    <row r="65" spans="2:12" ht="17">
      <c r="E65" s="34">
        <v>0.3</v>
      </c>
      <c r="F65" s="1" t="s">
        <v>21</v>
      </c>
      <c r="H65" s="35">
        <f>E65*H64</f>
        <v>2729.7</v>
      </c>
      <c r="J65" s="215" t="s">
        <v>272</v>
      </c>
      <c r="K65" s="215" t="s">
        <v>273</v>
      </c>
      <c r="L65" s="215" t="s">
        <v>274</v>
      </c>
    </row>
    <row r="66" spans="2:12">
      <c r="F66" s="1" t="s">
        <v>22</v>
      </c>
      <c r="H66" s="35">
        <f>H65+H64+H46+H45</f>
        <v>21184.408103637499</v>
      </c>
      <c r="J66" s="216">
        <f>SUM(M119:M1061)/60</f>
        <v>37.5</v>
      </c>
      <c r="K66" s="25">
        <v>600</v>
      </c>
      <c r="L66" s="25">
        <f>J66*K66</f>
        <v>22500</v>
      </c>
    </row>
    <row r="67" spans="2:12">
      <c r="E67" s="34">
        <v>0.3</v>
      </c>
      <c r="F67" s="1" t="s">
        <v>23</v>
      </c>
      <c r="H67" s="35">
        <f>E67*H66</f>
        <v>6355.3224310912492</v>
      </c>
    </row>
    <row r="68" spans="2:12">
      <c r="F68" s="1" t="s">
        <v>24</v>
      </c>
      <c r="H68" s="35">
        <f>H66+H67+(H4*1000/$D$2)</f>
        <v>31539.730534728747</v>
      </c>
    </row>
    <row r="69" spans="2:12">
      <c r="F69" s="1" t="s">
        <v>241</v>
      </c>
    </row>
    <row r="70" spans="2:12">
      <c r="H70" s="7">
        <f>H68*1.2</f>
        <v>37847.676641674494</v>
      </c>
      <c r="I70" s="1" t="s">
        <v>184</v>
      </c>
    </row>
    <row r="72" spans="2:12" outlineLevel="1">
      <c r="B72" s="184" t="s">
        <v>186</v>
      </c>
      <c r="F72" s="1" t="s">
        <v>239</v>
      </c>
      <c r="G72" s="1" t="s">
        <v>240</v>
      </c>
    </row>
    <row r="73" spans="2:12" outlineLevel="1">
      <c r="B73" s="188" t="str">
        <f>B16</f>
        <v>Услуги</v>
      </c>
      <c r="C73" s="188"/>
      <c r="D73" s="188"/>
      <c r="E73" s="188"/>
      <c r="F73" s="190">
        <f>F74</f>
        <v>0.191</v>
      </c>
      <c r="G73" s="189">
        <f>IFERROR((H16/$H$68),0)</f>
        <v>0.16355641274248964</v>
      </c>
    </row>
    <row r="74" spans="2:12" outlineLevel="1">
      <c r="B74" s="186" t="s">
        <v>187</v>
      </c>
      <c r="C74" s="185" t="s">
        <v>188</v>
      </c>
      <c r="F74" s="191">
        <v>0.191</v>
      </c>
    </row>
    <row r="75" spans="2:12" ht="7.5" customHeight="1" outlineLevel="1">
      <c r="B75" s="186"/>
      <c r="C75" s="185"/>
      <c r="F75" s="187"/>
    </row>
    <row r="76" spans="2:12" outlineLevel="1">
      <c r="B76" s="188" t="str">
        <f>B26</f>
        <v>Материальная часть</v>
      </c>
      <c r="C76" s="188"/>
      <c r="D76" s="188"/>
      <c r="E76" s="188"/>
      <c r="F76" s="190">
        <f>F77</f>
        <v>0.30599999999999999</v>
      </c>
      <c r="G76" s="189">
        <f>IFERROR((H26/$H$68),0)</f>
        <v>0.10610946711529294</v>
      </c>
    </row>
    <row r="77" spans="2:12" outlineLevel="1">
      <c r="B77" s="186" t="s">
        <v>189</v>
      </c>
      <c r="C77" s="185" t="s">
        <v>190</v>
      </c>
      <c r="F77" s="191">
        <v>0.30599999999999999</v>
      </c>
    </row>
    <row r="78" spans="2:12" ht="7.5" customHeight="1" outlineLevel="1">
      <c r="B78" s="186"/>
      <c r="C78" s="185"/>
      <c r="F78" s="187"/>
    </row>
    <row r="79" spans="2:12" outlineLevel="1">
      <c r="B79" s="188">
        <f>E64</f>
        <v>0</v>
      </c>
      <c r="C79" s="188"/>
      <c r="D79" s="188"/>
      <c r="E79" s="188"/>
      <c r="F79" s="190">
        <f>SUM(F80:F83)</f>
        <v>0.11599999999999999</v>
      </c>
      <c r="G79" s="189">
        <f>IFERROR((H64/$H$68),0)</f>
        <v>0.2884932700988358</v>
      </c>
    </row>
    <row r="80" spans="2:12" outlineLevel="1">
      <c r="B80" s="186" t="s">
        <v>203</v>
      </c>
      <c r="C80" s="185" t="s">
        <v>199</v>
      </c>
      <c r="F80" s="191">
        <v>1.2999999999999999E-2</v>
      </c>
    </row>
    <row r="81" spans="2:7" outlineLevel="1">
      <c r="B81" s="186" t="s">
        <v>204</v>
      </c>
      <c r="C81" s="185" t="s">
        <v>200</v>
      </c>
      <c r="F81" s="191">
        <v>8.5999999999999993E-2</v>
      </c>
    </row>
    <row r="82" spans="2:7" outlineLevel="1">
      <c r="B82" s="186" t="s">
        <v>227</v>
      </c>
      <c r="C82" s="185" t="s">
        <v>228</v>
      </c>
      <c r="F82" s="191">
        <v>6.0000000000000001E-3</v>
      </c>
    </row>
    <row r="83" spans="2:7" outlineLevel="1">
      <c r="B83" s="186" t="s">
        <v>207</v>
      </c>
      <c r="C83" s="185" t="s">
        <v>208</v>
      </c>
      <c r="F83" s="191">
        <v>1.0999999999999999E-2</v>
      </c>
    </row>
    <row r="84" spans="2:7" ht="7.5" customHeight="1" outlineLevel="1">
      <c r="B84" s="186"/>
      <c r="C84" s="185"/>
      <c r="F84" s="187"/>
    </row>
    <row r="85" spans="2:7" outlineLevel="1">
      <c r="B85" s="188" t="str">
        <f>F46</f>
        <v>Расходы на снабжение</v>
      </c>
      <c r="C85" s="188"/>
      <c r="D85" s="188"/>
      <c r="E85" s="188"/>
      <c r="F85" s="190">
        <f>SUM(F86:F91)</f>
        <v>4.3999999999999997E-2</v>
      </c>
      <c r="G85" s="189">
        <f>IFERROR((H46/$H$68),0)</f>
        <v>2.6966587985778261E-2</v>
      </c>
    </row>
    <row r="86" spans="2:7" outlineLevel="1">
      <c r="B86" s="186" t="s">
        <v>196</v>
      </c>
      <c r="C86" s="185" t="s">
        <v>197</v>
      </c>
      <c r="F86" s="191">
        <v>4.0000000000000001E-3</v>
      </c>
    </row>
    <row r="87" spans="2:7" outlineLevel="1">
      <c r="B87" s="186" t="s">
        <v>205</v>
      </c>
      <c r="C87" s="185" t="s">
        <v>206</v>
      </c>
      <c r="F87" s="191">
        <v>7.0000000000000001E-3</v>
      </c>
    </row>
    <row r="88" spans="2:7" outlineLevel="1">
      <c r="B88" s="186" t="s">
        <v>209</v>
      </c>
      <c r="C88" s="185" t="s">
        <v>210</v>
      </c>
      <c r="F88" s="191">
        <v>2E-3</v>
      </c>
    </row>
    <row r="89" spans="2:7" outlineLevel="1">
      <c r="B89" s="186" t="s">
        <v>215</v>
      </c>
      <c r="C89" s="185" t="s">
        <v>216</v>
      </c>
      <c r="F89" s="191">
        <v>3.0000000000000001E-3</v>
      </c>
    </row>
    <row r="90" spans="2:7" outlineLevel="1">
      <c r="B90" s="186" t="s">
        <v>192</v>
      </c>
      <c r="C90" s="185" t="s">
        <v>195</v>
      </c>
      <c r="F90" s="191">
        <v>2.5999999999999999E-2</v>
      </c>
    </row>
    <row r="91" spans="2:7" outlineLevel="1">
      <c r="B91" s="186" t="s">
        <v>193</v>
      </c>
      <c r="C91" s="185" t="s">
        <v>194</v>
      </c>
      <c r="F91" s="191">
        <v>2E-3</v>
      </c>
    </row>
    <row r="92" spans="2:7" ht="7.5" customHeight="1" outlineLevel="1">
      <c r="B92" s="186"/>
      <c r="C92" s="185"/>
      <c r="F92" s="187"/>
    </row>
    <row r="93" spans="2:7" outlineLevel="1">
      <c r="B93" s="188" t="str">
        <f>F65</f>
        <v>Маржа на работу</v>
      </c>
      <c r="C93" s="188"/>
      <c r="D93" s="188"/>
      <c r="E93" s="188"/>
      <c r="F93" s="190">
        <f>SUM(F94:F96)</f>
        <v>4.9999999999999996E-2</v>
      </c>
      <c r="G93" s="189">
        <f>IFERROR((H65/$H$68),0)</f>
        <v>8.6547981029650736E-2</v>
      </c>
    </row>
    <row r="94" spans="2:7" outlineLevel="1">
      <c r="B94" s="186" t="s">
        <v>201</v>
      </c>
      <c r="C94" s="185" t="s">
        <v>229</v>
      </c>
      <c r="F94" s="191">
        <v>0.02</v>
      </c>
    </row>
    <row r="95" spans="2:7" outlineLevel="1">
      <c r="B95" s="186" t="s">
        <v>202</v>
      </c>
      <c r="C95" s="185" t="s">
        <v>198</v>
      </c>
      <c r="F95" s="191">
        <v>2.5000000000000001E-2</v>
      </c>
    </row>
    <row r="96" spans="2:7" outlineLevel="1">
      <c r="B96" s="186" t="s">
        <v>213</v>
      </c>
      <c r="C96" s="185" t="s">
        <v>211</v>
      </c>
      <c r="F96" s="191">
        <v>5.0000000000000001E-3</v>
      </c>
    </row>
    <row r="97" spans="2:7" ht="7.5" customHeight="1" outlineLevel="1">
      <c r="B97" s="186"/>
      <c r="C97" s="185"/>
      <c r="F97" s="187"/>
    </row>
    <row r="98" spans="2:7" outlineLevel="1">
      <c r="B98" s="188" t="str">
        <f>F67</f>
        <v>Наценка торговая</v>
      </c>
      <c r="C98" s="188"/>
      <c r="D98" s="188"/>
      <c r="E98" s="188"/>
      <c r="F98" s="190">
        <f>SUM(F99:F109)</f>
        <v>0.29300000000000004</v>
      </c>
      <c r="G98" s="189">
        <f>IFERROR((H67/$H$68),0)</f>
        <v>0.20150211569161419</v>
      </c>
    </row>
    <row r="99" spans="2:7" outlineLevel="1">
      <c r="B99" s="186" t="s">
        <v>226</v>
      </c>
      <c r="C99" s="185" t="s">
        <v>225</v>
      </c>
      <c r="F99" s="191">
        <v>3.1E-2</v>
      </c>
    </row>
    <row r="100" spans="2:7" outlineLevel="1">
      <c r="B100" s="186" t="s">
        <v>218</v>
      </c>
      <c r="C100" s="185" t="s">
        <v>217</v>
      </c>
      <c r="F100" s="191">
        <v>5.0000000000000001E-3</v>
      </c>
    </row>
    <row r="101" spans="2:7" outlineLevel="1">
      <c r="B101" s="186" t="s">
        <v>220</v>
      </c>
      <c r="C101" s="185" t="s">
        <v>219</v>
      </c>
      <c r="F101" s="191">
        <v>7.0000000000000001E-3</v>
      </c>
    </row>
    <row r="102" spans="2:7" outlineLevel="1">
      <c r="B102" s="186" t="s">
        <v>232</v>
      </c>
      <c r="C102" s="185" t="s">
        <v>233</v>
      </c>
      <c r="F102" s="191">
        <v>6.0000000000000001E-3</v>
      </c>
    </row>
    <row r="103" spans="2:7" outlineLevel="1">
      <c r="B103" s="186" t="s">
        <v>230</v>
      </c>
      <c r="C103" s="185" t="s">
        <v>231</v>
      </c>
      <c r="F103" s="191">
        <v>5.0000000000000001E-3</v>
      </c>
    </row>
    <row r="104" spans="2:7" outlineLevel="1">
      <c r="B104" s="186" t="s">
        <v>223</v>
      </c>
      <c r="C104" s="185" t="s">
        <v>224</v>
      </c>
      <c r="F104" s="191">
        <v>0.12</v>
      </c>
    </row>
    <row r="105" spans="2:7" outlineLevel="1">
      <c r="B105" s="186" t="s">
        <v>221</v>
      </c>
      <c r="C105" s="185" t="s">
        <v>222</v>
      </c>
      <c r="F105" s="191">
        <v>1.6E-2</v>
      </c>
    </row>
    <row r="106" spans="2:7" outlineLevel="1">
      <c r="B106" s="186" t="s">
        <v>234</v>
      </c>
      <c r="C106" s="185" t="s">
        <v>235</v>
      </c>
      <c r="F106" s="191">
        <v>4.0000000000000001E-3</v>
      </c>
    </row>
    <row r="107" spans="2:7" outlineLevel="1">
      <c r="B107" s="186"/>
      <c r="C107" s="192" t="s">
        <v>237</v>
      </c>
      <c r="F107" s="191">
        <v>0.03</v>
      </c>
    </row>
    <row r="108" spans="2:7" outlineLevel="1">
      <c r="B108" s="186"/>
      <c r="C108" s="192" t="s">
        <v>238</v>
      </c>
      <c r="F108" s="191">
        <v>0.05</v>
      </c>
    </row>
    <row r="109" spans="2:7" outlineLevel="1">
      <c r="B109" s="186"/>
      <c r="C109" s="192" t="s">
        <v>236</v>
      </c>
      <c r="F109" s="191">
        <v>1.9E-2</v>
      </c>
    </row>
    <row r="110" spans="2:7" ht="7.5" customHeight="1" outlineLevel="1">
      <c r="B110" s="186"/>
      <c r="C110" s="185"/>
      <c r="F110" s="187"/>
    </row>
    <row r="111" spans="2:7" outlineLevel="1">
      <c r="B111" s="188" t="str">
        <f>F69</f>
        <v>Доставка</v>
      </c>
      <c r="C111" s="188"/>
      <c r="D111" s="188"/>
      <c r="E111" s="188"/>
      <c r="F111" s="190">
        <f>F112</f>
        <v>5.2999999999999999E-2</v>
      </c>
      <c r="G111" s="189">
        <f>IFERROR((#REF!/H105),0)</f>
        <v>0</v>
      </c>
    </row>
    <row r="112" spans="2:7" outlineLevel="1">
      <c r="B112" s="186" t="s">
        <v>214</v>
      </c>
      <c r="C112" s="185" t="s">
        <v>212</v>
      </c>
      <c r="F112" s="191">
        <v>5.2999999999999999E-2</v>
      </c>
    </row>
    <row r="115" spans="2:24" ht="25.5" customHeight="1">
      <c r="B115" s="260" t="s">
        <v>17</v>
      </c>
      <c r="C115" s="260"/>
      <c r="D115" s="260"/>
      <c r="E115" s="260"/>
      <c r="F115" s="260"/>
      <c r="G115" s="260"/>
      <c r="H115" s="260"/>
      <c r="I115" s="260"/>
      <c r="J115" s="260"/>
      <c r="K115" s="260"/>
      <c r="L115" s="260"/>
    </row>
    <row r="117" spans="2:24" ht="17" thickBot="1">
      <c r="B117" s="1" t="s">
        <v>0</v>
      </c>
      <c r="C117" s="2" t="s">
        <v>10</v>
      </c>
    </row>
    <row r="118" spans="2:24" ht="84">
      <c r="B118" s="240">
        <v>1</v>
      </c>
      <c r="C118" s="238"/>
      <c r="D118" s="10" t="s">
        <v>9</v>
      </c>
      <c r="E118" s="11" t="s">
        <v>5</v>
      </c>
      <c r="F118" s="10" t="s">
        <v>6</v>
      </c>
      <c r="G118" s="10" t="s">
        <v>7</v>
      </c>
      <c r="H118" s="10" t="s">
        <v>8</v>
      </c>
      <c r="I118" s="11" t="s">
        <v>19</v>
      </c>
      <c r="J118" s="20" t="s">
        <v>20</v>
      </c>
      <c r="K118" s="31" t="s">
        <v>179</v>
      </c>
      <c r="L118" s="32" t="s">
        <v>180</v>
      </c>
      <c r="M118" s="32" t="s">
        <v>275</v>
      </c>
      <c r="P118" s="235" t="s">
        <v>448</v>
      </c>
      <c r="W118" s="1" t="s">
        <v>450</v>
      </c>
      <c r="X118" s="1">
        <v>4</v>
      </c>
    </row>
    <row r="119" spans="2:24">
      <c r="B119" s="241"/>
      <c r="C119" s="239"/>
      <c r="D119" s="176">
        <v>4</v>
      </c>
      <c r="E119" s="13">
        <v>0.05</v>
      </c>
      <c r="F119" s="13">
        <f>IF($D$2*D119&lt;=200,0.33,0.25)</f>
        <v>0.33</v>
      </c>
      <c r="G119" s="13">
        <f>E119*F119</f>
        <v>1.6500000000000001E-2</v>
      </c>
      <c r="H119" s="14">
        <f>IF(($D$2*D119)&gt;40,750,IF(AND(8&lt;=($D$2*D119),($D$2*D119)&lt;=40),850,1000))</f>
        <v>1000</v>
      </c>
      <c r="I119" s="14">
        <f>(E119*F119*H119)</f>
        <v>16.5</v>
      </c>
      <c r="J119" s="21">
        <f>D119*I119</f>
        <v>66</v>
      </c>
      <c r="K119" s="178"/>
      <c r="L119" s="210"/>
      <c r="M119" s="268">
        <f>IFERROR((180/($D$2*D119)),0)</f>
        <v>45</v>
      </c>
    </row>
    <row r="120" spans="2:24" ht="15.75" customHeight="1" thickBot="1">
      <c r="B120" s="242"/>
      <c r="C120" s="15"/>
      <c r="D120" s="234">
        <v>4</v>
      </c>
      <c r="E120" s="16">
        <v>1</v>
      </c>
      <c r="F120" s="208">
        <f>IF($D$2*D119&lt;=200,0.017,0.0085)</f>
        <v>1.7000000000000001E-2</v>
      </c>
      <c r="G120" s="17">
        <f>E120*F120</f>
        <v>1.7000000000000001E-2</v>
      </c>
      <c r="H120" s="180">
        <f>IF(($D$2*D120)&gt;40,750,IF(AND(8&lt;=($D$2*D120),($D$2*D120)&lt;=40),850,1000))</f>
        <v>1000</v>
      </c>
      <c r="I120" s="180">
        <f>(E120*F120*H120)</f>
        <v>17</v>
      </c>
      <c r="J120" s="22">
        <f>D120*I120</f>
        <v>68</v>
      </c>
      <c r="K120" s="181">
        <f>G119*D119+G120*D120</f>
        <v>0.13400000000000001</v>
      </c>
      <c r="L120" s="236">
        <f>J119+J120</f>
        <v>134</v>
      </c>
      <c r="M120" s="269"/>
    </row>
    <row r="121" spans="2:24" outlineLevel="1">
      <c r="B121" s="19"/>
      <c r="C121" s="19" t="s">
        <v>388</v>
      </c>
      <c r="D121" s="177">
        <v>1</v>
      </c>
      <c r="E121" s="19"/>
      <c r="F121" s="19"/>
      <c r="G121" s="19"/>
      <c r="H121" s="19"/>
      <c r="I121" s="19"/>
      <c r="J121" s="23"/>
      <c r="K121" s="29"/>
      <c r="L121" s="212"/>
      <c r="M121" s="25"/>
    </row>
    <row r="122" spans="2:24" outlineLevel="1">
      <c r="B122" s="18"/>
      <c r="C122" s="19"/>
      <c r="D122" s="177"/>
      <c r="E122" s="18"/>
      <c r="F122" s="18"/>
      <c r="G122" s="18"/>
      <c r="H122" s="18"/>
      <c r="I122" s="18"/>
      <c r="J122" s="24"/>
      <c r="K122" s="25"/>
      <c r="L122" s="99"/>
      <c r="M122" s="25"/>
    </row>
    <row r="123" spans="2:24" outlineLevel="1">
      <c r="B123" s="18"/>
      <c r="C123" s="19"/>
      <c r="D123" s="177"/>
      <c r="E123" s="18"/>
      <c r="F123" s="18"/>
      <c r="G123" s="18"/>
      <c r="H123" s="18"/>
      <c r="I123" s="18"/>
      <c r="J123" s="24"/>
      <c r="K123" s="25"/>
      <c r="L123" s="99"/>
      <c r="M123" s="25"/>
    </row>
    <row r="124" spans="2:24" outlineLevel="1">
      <c r="B124" s="18"/>
      <c r="C124" s="19"/>
      <c r="D124" s="177"/>
      <c r="E124" s="18"/>
      <c r="F124" s="18"/>
      <c r="G124" s="18"/>
      <c r="H124" s="18"/>
      <c r="I124" s="18"/>
      <c r="J124" s="24"/>
      <c r="K124" s="25"/>
      <c r="L124" s="99"/>
      <c r="M124" s="25"/>
    </row>
    <row r="125" spans="2:24" outlineLevel="1">
      <c r="B125" s="18"/>
      <c r="C125" s="19"/>
      <c r="D125" s="177"/>
      <c r="E125" s="18"/>
      <c r="F125" s="18"/>
      <c r="G125" s="18"/>
      <c r="H125" s="18"/>
      <c r="I125" s="18"/>
      <c r="J125" s="24"/>
      <c r="K125" s="25"/>
      <c r="L125" s="99"/>
      <c r="M125" s="25"/>
    </row>
    <row r="126" spans="2:24" ht="17" outlineLevel="1" thickBot="1">
      <c r="B126" s="26"/>
      <c r="C126" s="19"/>
      <c r="D126" s="177"/>
      <c r="E126" s="26"/>
      <c r="F126" s="26"/>
      <c r="G126" s="26"/>
      <c r="H126" s="26"/>
      <c r="I126" s="26"/>
      <c r="J126" s="27"/>
      <c r="K126" s="28"/>
      <c r="L126" s="213"/>
      <c r="M126" s="25"/>
    </row>
    <row r="127" spans="2:24" customFormat="1" ht="69.75" customHeight="1">
      <c r="B127" s="240">
        <v>2</v>
      </c>
      <c r="C127" s="238"/>
      <c r="D127" s="10" t="s">
        <v>9</v>
      </c>
      <c r="E127" s="11" t="s">
        <v>5</v>
      </c>
      <c r="F127" s="10" t="s">
        <v>6</v>
      </c>
      <c r="G127" s="10" t="s">
        <v>7</v>
      </c>
      <c r="H127" s="10" t="s">
        <v>8</v>
      </c>
      <c r="I127" s="11" t="s">
        <v>19</v>
      </c>
      <c r="J127" s="20" t="s">
        <v>20</v>
      </c>
      <c r="K127" s="31" t="s">
        <v>179</v>
      </c>
      <c r="L127" s="214" t="s">
        <v>180</v>
      </c>
      <c r="M127" s="32" t="s">
        <v>275</v>
      </c>
      <c r="P127" s="237" t="s">
        <v>449</v>
      </c>
    </row>
    <row r="128" spans="2:24" customFormat="1">
      <c r="B128" s="241"/>
      <c r="C128" s="239"/>
      <c r="D128" s="176">
        <v>1</v>
      </c>
      <c r="E128" s="13">
        <v>1.47786</v>
      </c>
      <c r="F128" s="13">
        <f t="shared" ref="F128" si="5">IF($D$2*D128&lt;=200,0.33,0.25)</f>
        <v>0.33</v>
      </c>
      <c r="G128" s="13">
        <f t="shared" ref="G128:G129" si="6">E128*F128</f>
        <v>0.48769380000000001</v>
      </c>
      <c r="H128" s="14">
        <f t="shared" ref="H128:H129" si="7">IF(($D$2*D128)&gt;40,750,IF(AND(8&lt;=($D$2*D128),($D$2*D128)&lt;=40),850,1000))</f>
        <v>1000</v>
      </c>
      <c r="I128" s="14">
        <f t="shared" ref="I128:I129" si="8">(E128*F128*H128)</f>
        <v>487.69380000000001</v>
      </c>
      <c r="J128" s="21">
        <f>D128*I128</f>
        <v>487.69380000000001</v>
      </c>
      <c r="K128" s="178"/>
      <c r="L128" s="210"/>
      <c r="M128" s="268">
        <f>IFERROR((180/($D$2*D128)),0)</f>
        <v>180</v>
      </c>
    </row>
    <row r="129" spans="2:13" customFormat="1" ht="13.5" customHeight="1" thickBot="1">
      <c r="B129" s="242"/>
      <c r="C129" s="15"/>
      <c r="D129" s="179">
        <v>1</v>
      </c>
      <c r="E129" s="16">
        <v>15</v>
      </c>
      <c r="F129" s="208">
        <f t="shared" ref="F129" si="9">IF($D$2*D128&lt;=200,0.017,0.0085)</f>
        <v>1.7000000000000001E-2</v>
      </c>
      <c r="G129" s="17">
        <f t="shared" si="6"/>
        <v>0.255</v>
      </c>
      <c r="H129" s="180">
        <f t="shared" si="7"/>
        <v>1000</v>
      </c>
      <c r="I129" s="180">
        <f t="shared" si="8"/>
        <v>255</v>
      </c>
      <c r="J129" s="22">
        <f>D129*I129</f>
        <v>255</v>
      </c>
      <c r="K129" s="181">
        <f t="shared" ref="K129" si="10">G128*D128+G129*D129</f>
        <v>0.74269380000000007</v>
      </c>
      <c r="L129" s="211">
        <f t="shared" ref="L129" si="11">J128+J129</f>
        <v>742.69380000000001</v>
      </c>
      <c r="M129" s="269"/>
    </row>
    <row r="130" spans="2:13" customFormat="1" outlineLevel="1">
      <c r="B130" s="19"/>
      <c r="C130" s="19" t="s">
        <v>389</v>
      </c>
      <c r="D130" s="177">
        <v>4</v>
      </c>
      <c r="E130" s="19"/>
      <c r="F130" s="19"/>
      <c r="G130" s="19"/>
      <c r="H130" s="19"/>
      <c r="I130" s="19"/>
      <c r="J130" s="23"/>
      <c r="K130" s="29"/>
      <c r="L130" s="212"/>
      <c r="M130" s="12"/>
    </row>
    <row r="131" spans="2:13" customFormat="1" outlineLevel="1">
      <c r="B131" s="19"/>
      <c r="C131" s="19" t="s">
        <v>390</v>
      </c>
      <c r="D131" s="177">
        <v>1</v>
      </c>
      <c r="E131" s="19"/>
      <c r="F131" s="19"/>
      <c r="G131" s="19"/>
      <c r="H131" s="19"/>
      <c r="I131" s="19"/>
      <c r="J131" s="23"/>
      <c r="K131" s="29"/>
      <c r="L131" s="212"/>
      <c r="M131" s="12"/>
    </row>
    <row r="132" spans="2:13" customFormat="1" outlineLevel="1">
      <c r="B132" s="18"/>
      <c r="C132" s="19" t="s">
        <v>391</v>
      </c>
      <c r="D132" s="177">
        <v>1</v>
      </c>
      <c r="E132" s="18"/>
      <c r="F132" s="18"/>
      <c r="G132" s="18"/>
      <c r="H132" s="18"/>
      <c r="I132" s="18"/>
      <c r="J132" s="24"/>
      <c r="K132" s="25"/>
      <c r="L132" s="99"/>
      <c r="M132" s="12"/>
    </row>
    <row r="133" spans="2:13" customFormat="1" outlineLevel="1">
      <c r="B133" s="18"/>
      <c r="C133" s="19" t="s">
        <v>392</v>
      </c>
      <c r="D133" s="177">
        <v>2</v>
      </c>
      <c r="E133" s="18"/>
      <c r="F133" s="18"/>
      <c r="G133" s="18"/>
      <c r="H133" s="18"/>
      <c r="I133" s="18"/>
      <c r="J133" s="24"/>
      <c r="K133" s="25"/>
      <c r="L133" s="99"/>
      <c r="M133" s="12"/>
    </row>
    <row r="134" spans="2:13" customFormat="1" ht="15" customHeight="1" outlineLevel="1">
      <c r="B134" s="18"/>
      <c r="C134" s="19" t="s">
        <v>393</v>
      </c>
      <c r="D134" s="177">
        <v>1</v>
      </c>
      <c r="E134" s="18"/>
      <c r="F134" s="18"/>
      <c r="G134" s="18"/>
      <c r="H134" s="18"/>
      <c r="I134" s="18"/>
      <c r="J134" s="24"/>
      <c r="K134" s="25"/>
      <c r="L134" s="99"/>
      <c r="M134" s="12"/>
    </row>
    <row r="135" spans="2:13" customFormat="1" outlineLevel="1">
      <c r="B135" s="18"/>
      <c r="C135" s="19" t="s">
        <v>394</v>
      </c>
      <c r="D135" s="177">
        <v>4</v>
      </c>
      <c r="E135" s="18"/>
      <c r="F135" s="18"/>
      <c r="G135" s="18"/>
      <c r="H135" s="18"/>
      <c r="I135" s="18"/>
      <c r="J135" s="24"/>
      <c r="K135" s="25"/>
      <c r="L135" s="99"/>
      <c r="M135" s="12"/>
    </row>
    <row r="136" spans="2:13" customFormat="1" ht="17" outlineLevel="1" thickBot="1">
      <c r="B136" s="26"/>
      <c r="C136" s="19" t="s">
        <v>395</v>
      </c>
      <c r="D136" s="177">
        <v>2</v>
      </c>
      <c r="E136" s="26"/>
      <c r="F136" s="26"/>
      <c r="G136" s="26"/>
      <c r="H136" s="26"/>
      <c r="I136" s="26"/>
      <c r="J136" s="27"/>
      <c r="K136" s="28"/>
      <c r="L136" s="213"/>
      <c r="M136" s="12"/>
    </row>
    <row r="137" spans="2:13" ht="84">
      <c r="B137" s="240">
        <v>3</v>
      </c>
      <c r="C137" s="238"/>
      <c r="D137" s="10" t="s">
        <v>9</v>
      </c>
      <c r="E137" s="11" t="s">
        <v>5</v>
      </c>
      <c r="F137" s="10" t="s">
        <v>6</v>
      </c>
      <c r="G137" s="10" t="s">
        <v>7</v>
      </c>
      <c r="H137" s="10" t="s">
        <v>8</v>
      </c>
      <c r="I137" s="11" t="s">
        <v>19</v>
      </c>
      <c r="J137" s="20" t="s">
        <v>20</v>
      </c>
      <c r="K137" s="31" t="s">
        <v>179</v>
      </c>
      <c r="L137" s="214" t="s">
        <v>180</v>
      </c>
      <c r="M137" s="32" t="s">
        <v>275</v>
      </c>
    </row>
    <row r="138" spans="2:13">
      <c r="B138" s="241"/>
      <c r="C138" s="239"/>
      <c r="D138" s="176">
        <v>1</v>
      </c>
      <c r="E138" s="13">
        <v>1.77884</v>
      </c>
      <c r="F138" s="13">
        <f t="shared" ref="F138" si="12">IF($D$2*D138&lt;=200,0.33,0.25)</f>
        <v>0.33</v>
      </c>
      <c r="G138" s="13">
        <f t="shared" ref="G138:G139" si="13">E138*F138</f>
        <v>0.58701720000000002</v>
      </c>
      <c r="H138" s="14">
        <f t="shared" ref="H138:H139" si="14">IF(($D$2*D138)&gt;40,750,IF(AND(8&lt;=($D$2*D138),($D$2*D138)&lt;=40),850,1000))</f>
        <v>1000</v>
      </c>
      <c r="I138" s="14">
        <f t="shared" ref="I138:I139" si="15">(E138*F138*H138)</f>
        <v>587.0172</v>
      </c>
      <c r="J138" s="21">
        <f>D138*I138</f>
        <v>587.0172</v>
      </c>
      <c r="K138" s="178"/>
      <c r="L138" s="210"/>
      <c r="M138" s="268">
        <f>IFERROR((180/($D$2*D138)),0)</f>
        <v>180</v>
      </c>
    </row>
    <row r="139" spans="2:13" ht="17" thickBot="1">
      <c r="B139" s="242"/>
      <c r="C139" s="15"/>
      <c r="D139" s="179">
        <v>1</v>
      </c>
      <c r="E139" s="16">
        <v>13</v>
      </c>
      <c r="F139" s="208">
        <f t="shared" ref="F139" si="16">IF($D$2*D138&lt;=200,0.017,0.0085)</f>
        <v>1.7000000000000001E-2</v>
      </c>
      <c r="G139" s="17">
        <f t="shared" si="13"/>
        <v>0.22100000000000003</v>
      </c>
      <c r="H139" s="180">
        <f t="shared" si="14"/>
        <v>1000</v>
      </c>
      <c r="I139" s="180">
        <f t="shared" si="15"/>
        <v>221.00000000000003</v>
      </c>
      <c r="J139" s="22">
        <f>D139*I139</f>
        <v>221.00000000000003</v>
      </c>
      <c r="K139" s="181">
        <f t="shared" ref="K139" si="17">G138*D138+G139*D139</f>
        <v>0.8080172000000001</v>
      </c>
      <c r="L139" s="211">
        <f t="shared" ref="L139" si="18">J138+J139</f>
        <v>808.0172</v>
      </c>
      <c r="M139" s="269"/>
    </row>
    <row r="140" spans="2:13" outlineLevel="1">
      <c r="B140" s="19"/>
      <c r="C140" s="19" t="s">
        <v>396</v>
      </c>
      <c r="D140" s="177">
        <v>3</v>
      </c>
      <c r="E140" s="19"/>
      <c r="F140" s="19"/>
      <c r="G140" s="19"/>
      <c r="H140" s="19"/>
      <c r="I140" s="19"/>
      <c r="J140" s="23"/>
      <c r="K140" s="29"/>
      <c r="L140" s="212"/>
      <c r="M140" s="25"/>
    </row>
    <row r="141" spans="2:13" outlineLevel="1">
      <c r="B141" s="19"/>
      <c r="C141" s="19" t="s">
        <v>397</v>
      </c>
      <c r="D141" s="177">
        <v>2</v>
      </c>
      <c r="E141" s="19"/>
      <c r="F141" s="19"/>
      <c r="G141" s="19"/>
      <c r="H141" s="19"/>
      <c r="I141" s="19"/>
      <c r="J141" s="23"/>
      <c r="K141" s="29"/>
      <c r="L141" s="212"/>
      <c r="M141" s="25"/>
    </row>
    <row r="142" spans="2:13" outlineLevel="1">
      <c r="B142" s="19"/>
      <c r="C142" s="19" t="s">
        <v>398</v>
      </c>
      <c r="D142" s="177">
        <v>1</v>
      </c>
      <c r="E142" s="19"/>
      <c r="F142" s="19"/>
      <c r="G142" s="19"/>
      <c r="H142" s="19"/>
      <c r="I142" s="19"/>
      <c r="J142" s="23"/>
      <c r="K142" s="29"/>
      <c r="L142" s="212"/>
      <c r="M142" s="25"/>
    </row>
    <row r="143" spans="2:13" outlineLevel="1">
      <c r="B143" s="18"/>
      <c r="C143" s="19" t="s">
        <v>399</v>
      </c>
      <c r="D143" s="177">
        <v>2</v>
      </c>
      <c r="E143" s="18"/>
      <c r="F143" s="18"/>
      <c r="G143" s="18"/>
      <c r="H143" s="18"/>
      <c r="I143" s="18"/>
      <c r="J143" s="24"/>
      <c r="K143" s="25"/>
      <c r="L143" s="99"/>
      <c r="M143" s="25"/>
    </row>
    <row r="144" spans="2:13" outlineLevel="1">
      <c r="B144" s="18"/>
      <c r="C144" s="19" t="s">
        <v>400</v>
      </c>
      <c r="D144" s="177">
        <v>2</v>
      </c>
      <c r="E144" s="18"/>
      <c r="F144" s="18"/>
      <c r="G144" s="18"/>
      <c r="H144" s="18"/>
      <c r="I144" s="18"/>
      <c r="J144" s="24"/>
      <c r="K144" s="25"/>
      <c r="L144" s="99"/>
      <c r="M144" s="25"/>
    </row>
    <row r="145" spans="2:13" outlineLevel="1">
      <c r="B145" s="18"/>
      <c r="C145" s="19" t="s">
        <v>401</v>
      </c>
      <c r="D145" s="177">
        <v>1</v>
      </c>
      <c r="E145" s="18"/>
      <c r="F145" s="18"/>
      <c r="G145" s="18"/>
      <c r="H145" s="18"/>
      <c r="I145" s="18"/>
      <c r="J145" s="24"/>
      <c r="K145" s="25"/>
      <c r="L145" s="99"/>
      <c r="M145" s="25"/>
    </row>
    <row r="146" spans="2:13" outlineLevel="1">
      <c r="B146" s="18"/>
      <c r="C146" s="19" t="s">
        <v>402</v>
      </c>
      <c r="D146" s="177">
        <v>1</v>
      </c>
      <c r="E146" s="18"/>
      <c r="F146" s="18"/>
      <c r="G146" s="18"/>
      <c r="H146" s="18"/>
      <c r="I146" s="18"/>
      <c r="J146" s="24"/>
      <c r="K146" s="25"/>
      <c r="L146" s="99"/>
      <c r="M146" s="25"/>
    </row>
    <row r="147" spans="2:13" ht="17" outlineLevel="1" thickBot="1">
      <c r="B147" s="26"/>
      <c r="C147" s="19" t="s">
        <v>403</v>
      </c>
      <c r="D147" s="177">
        <v>1</v>
      </c>
      <c r="E147" s="26"/>
      <c r="F147" s="26"/>
      <c r="G147" s="26"/>
      <c r="H147" s="26"/>
      <c r="I147" s="26"/>
      <c r="J147" s="27"/>
      <c r="K147" s="28"/>
      <c r="L147" s="213"/>
      <c r="M147" s="25"/>
    </row>
    <row r="148" spans="2:13" ht="84">
      <c r="B148" s="240">
        <v>4</v>
      </c>
      <c r="C148" s="238"/>
      <c r="D148" s="10" t="s">
        <v>9</v>
      </c>
      <c r="E148" s="11" t="s">
        <v>5</v>
      </c>
      <c r="F148" s="10" t="s">
        <v>6</v>
      </c>
      <c r="G148" s="10" t="s">
        <v>7</v>
      </c>
      <c r="H148" s="10" t="s">
        <v>8</v>
      </c>
      <c r="I148" s="11" t="s">
        <v>19</v>
      </c>
      <c r="J148" s="20" t="s">
        <v>20</v>
      </c>
      <c r="K148" s="31" t="s">
        <v>179</v>
      </c>
      <c r="L148" s="214" t="s">
        <v>180</v>
      </c>
      <c r="M148" s="32" t="s">
        <v>275</v>
      </c>
    </row>
    <row r="149" spans="2:13">
      <c r="B149" s="241"/>
      <c r="C149" s="239"/>
      <c r="D149" s="176">
        <v>2</v>
      </c>
      <c r="E149" s="13">
        <v>0.03</v>
      </c>
      <c r="F149" s="13">
        <f t="shared" ref="F149" si="19">IF($D$2*D149&lt;=200,0.33,0.25)</f>
        <v>0.33</v>
      </c>
      <c r="G149" s="13">
        <f t="shared" ref="G149:G150" si="20">E149*F149</f>
        <v>9.9000000000000008E-3</v>
      </c>
      <c r="H149" s="14">
        <f t="shared" ref="H149:H150" si="21">IF(($D$2*D149)&gt;40,750,IF(AND(8&lt;=($D$2*D149),($D$2*D149)&lt;=40),850,1000))</f>
        <v>1000</v>
      </c>
      <c r="I149" s="14">
        <f t="shared" ref="I149:I150" si="22">(E149*F149*H149)</f>
        <v>9.9</v>
      </c>
      <c r="J149" s="21">
        <f>D149*I149</f>
        <v>19.8</v>
      </c>
      <c r="K149" s="178"/>
      <c r="L149" s="210"/>
      <c r="M149" s="268">
        <f>IFERROR((180/($D$2*D149)),0)</f>
        <v>90</v>
      </c>
    </row>
    <row r="150" spans="2:13" ht="17" thickBot="1">
      <c r="B150" s="242"/>
      <c r="C150" s="15"/>
      <c r="D150" s="179">
        <v>2</v>
      </c>
      <c r="E150" s="16">
        <v>4</v>
      </c>
      <c r="F150" s="208">
        <f t="shared" ref="F150" si="23">IF($D$2*D149&lt;=200,0.017,0.0085)</f>
        <v>1.7000000000000001E-2</v>
      </c>
      <c r="G150" s="17">
        <f t="shared" si="20"/>
        <v>6.8000000000000005E-2</v>
      </c>
      <c r="H150" s="180">
        <f t="shared" si="21"/>
        <v>1000</v>
      </c>
      <c r="I150" s="180">
        <f t="shared" si="22"/>
        <v>68</v>
      </c>
      <c r="J150" s="22">
        <f>D150*I150</f>
        <v>136</v>
      </c>
      <c r="K150" s="181">
        <f t="shared" ref="K150" si="24">G149*D149+G150*D150</f>
        <v>0.15580000000000002</v>
      </c>
      <c r="L150" s="211">
        <f t="shared" ref="L150" si="25">J149+J150</f>
        <v>155.80000000000001</v>
      </c>
      <c r="M150" s="269"/>
    </row>
    <row r="151" spans="2:13" outlineLevel="1">
      <c r="B151" s="19"/>
      <c r="C151" s="19" t="s">
        <v>404</v>
      </c>
      <c r="D151" s="177">
        <v>1</v>
      </c>
      <c r="E151" s="19"/>
      <c r="F151" s="19"/>
      <c r="G151" s="19"/>
      <c r="H151" s="19"/>
      <c r="I151" s="19"/>
      <c r="J151" s="23"/>
      <c r="K151" s="29"/>
      <c r="L151" s="212"/>
      <c r="M151" s="25"/>
    </row>
    <row r="152" spans="2:13" outlineLevel="1">
      <c r="B152" s="18"/>
      <c r="C152" s="19" t="s">
        <v>405</v>
      </c>
      <c r="D152" s="177">
        <v>1</v>
      </c>
      <c r="E152" s="18"/>
      <c r="F152" s="18"/>
      <c r="G152" s="18"/>
      <c r="H152" s="18"/>
      <c r="I152" s="18"/>
      <c r="J152" s="24"/>
      <c r="K152" s="25"/>
      <c r="L152" s="99"/>
      <c r="M152" s="25"/>
    </row>
    <row r="153" spans="2:13" outlineLevel="1">
      <c r="B153" s="18"/>
      <c r="C153" s="19" t="s">
        <v>406</v>
      </c>
      <c r="D153" s="177">
        <v>2</v>
      </c>
      <c r="E153" s="18"/>
      <c r="F153" s="18"/>
      <c r="G153" s="18"/>
      <c r="H153" s="18"/>
      <c r="I153" s="18"/>
      <c r="J153" s="24"/>
      <c r="K153" s="25"/>
      <c r="L153" s="99"/>
      <c r="M153" s="25"/>
    </row>
    <row r="154" spans="2:13" outlineLevel="1">
      <c r="B154" s="18"/>
      <c r="C154" s="19"/>
      <c r="D154" s="177"/>
      <c r="E154" s="18"/>
      <c r="F154" s="18"/>
      <c r="G154" s="18"/>
      <c r="H154" s="18"/>
      <c r="I154" s="18"/>
      <c r="J154" s="24"/>
      <c r="K154" s="25"/>
      <c r="L154" s="99"/>
      <c r="M154" s="25"/>
    </row>
    <row r="155" spans="2:13" outlineLevel="1">
      <c r="B155" s="18"/>
      <c r="C155" s="19"/>
      <c r="D155" s="177"/>
      <c r="E155" s="18"/>
      <c r="F155" s="18"/>
      <c r="G155" s="18"/>
      <c r="H155" s="18"/>
      <c r="I155" s="18"/>
      <c r="J155" s="24"/>
      <c r="K155" s="25"/>
      <c r="L155" s="99"/>
      <c r="M155" s="25"/>
    </row>
    <row r="156" spans="2:13" ht="17" outlineLevel="1" thickBot="1">
      <c r="B156" s="26"/>
      <c r="C156" s="19"/>
      <c r="D156" s="177"/>
      <c r="E156" s="26"/>
      <c r="F156" s="26"/>
      <c r="G156" s="26"/>
      <c r="H156" s="26"/>
      <c r="I156" s="26"/>
      <c r="J156" s="27"/>
      <c r="K156" s="28"/>
      <c r="L156" s="213"/>
      <c r="M156" s="25"/>
    </row>
    <row r="157" spans="2:13" ht="84">
      <c r="B157" s="240">
        <v>5</v>
      </c>
      <c r="C157" s="238"/>
      <c r="D157" s="10" t="s">
        <v>9</v>
      </c>
      <c r="E157" s="11" t="s">
        <v>5</v>
      </c>
      <c r="F157" s="10" t="s">
        <v>6</v>
      </c>
      <c r="G157" s="10" t="s">
        <v>7</v>
      </c>
      <c r="H157" s="10" t="s">
        <v>8</v>
      </c>
      <c r="I157" s="11" t="s">
        <v>19</v>
      </c>
      <c r="J157" s="20" t="s">
        <v>20</v>
      </c>
      <c r="K157" s="31" t="s">
        <v>179</v>
      </c>
      <c r="L157" s="214" t="s">
        <v>180</v>
      </c>
      <c r="M157" s="32" t="s">
        <v>275</v>
      </c>
    </row>
    <row r="158" spans="2:13">
      <c r="B158" s="241"/>
      <c r="C158" s="239"/>
      <c r="D158" s="176">
        <v>2</v>
      </c>
      <c r="E158" s="13">
        <v>0.124</v>
      </c>
      <c r="F158" s="13">
        <f t="shared" ref="F158" si="26">IF($D$2*D158&lt;=200,0.33,0.25)</f>
        <v>0.33</v>
      </c>
      <c r="G158" s="13">
        <f t="shared" ref="G158:G159" si="27">E158*F158</f>
        <v>4.0920000000000005E-2</v>
      </c>
      <c r="H158" s="14">
        <f t="shared" ref="H158:H159" si="28">IF(($D$2*D158)&gt;40,750,IF(AND(8&lt;=($D$2*D158),($D$2*D158)&lt;=40),850,1000))</f>
        <v>1000</v>
      </c>
      <c r="I158" s="14">
        <f t="shared" ref="I158:I159" si="29">(E158*F158*H158)</f>
        <v>40.92</v>
      </c>
      <c r="J158" s="21">
        <f>D158*I158</f>
        <v>81.84</v>
      </c>
      <c r="K158" s="178"/>
      <c r="L158" s="210"/>
      <c r="M158" s="268">
        <f>IFERROR((180/($D$2*D158)),0)</f>
        <v>90</v>
      </c>
    </row>
    <row r="159" spans="2:13" ht="17" thickBot="1">
      <c r="B159" s="242"/>
      <c r="C159" s="15"/>
      <c r="D159" s="179">
        <v>2</v>
      </c>
      <c r="E159" s="16">
        <v>4</v>
      </c>
      <c r="F159" s="208">
        <f t="shared" ref="F159" si="30">IF($D$2*D158&lt;=200,0.017,0.0085)</f>
        <v>1.7000000000000001E-2</v>
      </c>
      <c r="G159" s="17">
        <f t="shared" si="27"/>
        <v>6.8000000000000005E-2</v>
      </c>
      <c r="H159" s="180">
        <f t="shared" si="28"/>
        <v>1000</v>
      </c>
      <c r="I159" s="180">
        <f t="shared" si="29"/>
        <v>68</v>
      </c>
      <c r="J159" s="22">
        <f>D159*I159</f>
        <v>136</v>
      </c>
      <c r="K159" s="181">
        <f t="shared" ref="K159" si="31">G158*D158+G159*D159</f>
        <v>0.21784000000000003</v>
      </c>
      <c r="L159" s="211">
        <f t="shared" ref="L159" si="32">J158+J159</f>
        <v>217.84</v>
      </c>
      <c r="M159" s="269"/>
    </row>
    <row r="160" spans="2:13" outlineLevel="1">
      <c r="B160" s="19"/>
      <c r="C160" s="19" t="s">
        <v>407</v>
      </c>
      <c r="D160" s="177">
        <v>1</v>
      </c>
      <c r="E160" s="19"/>
      <c r="F160" s="19"/>
      <c r="G160" s="19"/>
      <c r="H160" s="19"/>
      <c r="I160" s="19"/>
      <c r="J160" s="23"/>
      <c r="K160" s="29"/>
      <c r="L160" s="212"/>
      <c r="M160" s="25"/>
    </row>
    <row r="161" spans="2:13" outlineLevel="1">
      <c r="B161" s="18"/>
      <c r="C161" s="19" t="s">
        <v>408</v>
      </c>
      <c r="D161" s="177">
        <v>2</v>
      </c>
      <c r="E161" s="18"/>
      <c r="F161" s="18"/>
      <c r="G161" s="18"/>
      <c r="H161" s="18"/>
      <c r="I161" s="18"/>
      <c r="J161" s="24"/>
      <c r="K161" s="25"/>
      <c r="L161" s="99"/>
      <c r="M161" s="25"/>
    </row>
    <row r="162" spans="2:13" outlineLevel="1">
      <c r="B162" s="18"/>
      <c r="C162" s="19" t="s">
        <v>409</v>
      </c>
      <c r="D162" s="177">
        <v>1</v>
      </c>
      <c r="E162" s="18"/>
      <c r="F162" s="18"/>
      <c r="G162" s="18"/>
      <c r="H162" s="18"/>
      <c r="I162" s="18"/>
      <c r="J162" s="24"/>
      <c r="K162" s="25"/>
      <c r="L162" s="99"/>
      <c r="M162" s="25"/>
    </row>
    <row r="163" spans="2:13" outlineLevel="1">
      <c r="B163" s="18"/>
      <c r="C163" s="19"/>
      <c r="D163" s="177"/>
      <c r="E163" s="18"/>
      <c r="F163" s="18"/>
      <c r="G163" s="18"/>
      <c r="H163" s="18"/>
      <c r="I163" s="18"/>
      <c r="J163" s="24"/>
      <c r="K163" s="25"/>
      <c r="L163" s="99"/>
      <c r="M163" s="25"/>
    </row>
    <row r="164" spans="2:13" outlineLevel="1">
      <c r="B164" s="18"/>
      <c r="C164" s="19"/>
      <c r="D164" s="177"/>
      <c r="E164" s="18"/>
      <c r="F164" s="18"/>
      <c r="G164" s="18"/>
      <c r="H164" s="18"/>
      <c r="I164" s="18"/>
      <c r="J164" s="24"/>
      <c r="K164" s="25"/>
      <c r="L164" s="99"/>
      <c r="M164" s="25"/>
    </row>
    <row r="165" spans="2:13" ht="17" outlineLevel="1" thickBot="1">
      <c r="B165" s="26"/>
      <c r="C165" s="19"/>
      <c r="D165" s="177"/>
      <c r="E165" s="26"/>
      <c r="F165" s="26"/>
      <c r="G165" s="26"/>
      <c r="H165" s="26"/>
      <c r="I165" s="26"/>
      <c r="J165" s="27"/>
      <c r="K165" s="28"/>
      <c r="L165" s="213"/>
      <c r="M165" s="25"/>
    </row>
    <row r="166" spans="2:13" ht="84">
      <c r="B166" s="240">
        <v>6</v>
      </c>
      <c r="C166" s="238"/>
      <c r="D166" s="10" t="s">
        <v>9</v>
      </c>
      <c r="E166" s="11" t="s">
        <v>5</v>
      </c>
      <c r="F166" s="10" t="s">
        <v>6</v>
      </c>
      <c r="G166" s="10" t="s">
        <v>7</v>
      </c>
      <c r="H166" s="10" t="s">
        <v>8</v>
      </c>
      <c r="I166" s="11" t="s">
        <v>19</v>
      </c>
      <c r="J166" s="20" t="s">
        <v>20</v>
      </c>
      <c r="K166" s="31" t="s">
        <v>179</v>
      </c>
      <c r="L166" s="214" t="s">
        <v>180</v>
      </c>
      <c r="M166" s="32" t="s">
        <v>275</v>
      </c>
    </row>
    <row r="167" spans="2:13">
      <c r="B167" s="241"/>
      <c r="C167" s="239"/>
      <c r="D167" s="176">
        <v>1</v>
      </c>
      <c r="E167" s="13">
        <v>0.12146999999999999</v>
      </c>
      <c r="F167" s="13">
        <f t="shared" ref="F167" si="33">IF($D$2*D167&lt;=200,0.33,0.25)</f>
        <v>0.33</v>
      </c>
      <c r="G167" s="13">
        <f t="shared" ref="G167:G168" si="34">E167*F167</f>
        <v>4.0085099999999999E-2</v>
      </c>
      <c r="H167" s="14">
        <f t="shared" ref="H167:H168" si="35">IF(($D$2*D167)&gt;40,750,IF(AND(8&lt;=($D$2*D167),($D$2*D167)&lt;=40),850,1000))</f>
        <v>1000</v>
      </c>
      <c r="I167" s="14">
        <f t="shared" ref="I167:I168" si="36">(E167*F167*H167)</f>
        <v>40.085099999999997</v>
      </c>
      <c r="J167" s="21">
        <f>D167*I167</f>
        <v>40.085099999999997</v>
      </c>
      <c r="K167" s="178"/>
      <c r="L167" s="210"/>
      <c r="M167" s="268">
        <f>IFERROR((180/($D$2*D167)),0)</f>
        <v>180</v>
      </c>
    </row>
    <row r="168" spans="2:13" ht="17" thickBot="1">
      <c r="B168" s="242"/>
      <c r="C168" s="15"/>
      <c r="D168" s="179">
        <v>1</v>
      </c>
      <c r="E168" s="16">
        <v>3</v>
      </c>
      <c r="F168" s="208">
        <f t="shared" ref="F168" si="37">IF($D$2*D167&lt;=200,0.017,0.0085)</f>
        <v>1.7000000000000001E-2</v>
      </c>
      <c r="G168" s="17">
        <f t="shared" si="34"/>
        <v>5.1000000000000004E-2</v>
      </c>
      <c r="H168" s="180">
        <f t="shared" si="35"/>
        <v>1000</v>
      </c>
      <c r="I168" s="180">
        <f t="shared" si="36"/>
        <v>51.000000000000007</v>
      </c>
      <c r="J168" s="22">
        <f>D168*I168</f>
        <v>51.000000000000007</v>
      </c>
      <c r="K168" s="181">
        <f t="shared" ref="K168" si="38">G167*D167+G168*D168</f>
        <v>9.1085100000000002E-2</v>
      </c>
      <c r="L168" s="211">
        <f t="shared" ref="L168" si="39">J167+J168</f>
        <v>91.085100000000011</v>
      </c>
      <c r="M168" s="269"/>
    </row>
    <row r="169" spans="2:13" outlineLevel="1">
      <c r="B169" s="19"/>
      <c r="C169" s="19" t="s">
        <v>410</v>
      </c>
      <c r="D169" s="177">
        <v>1</v>
      </c>
      <c r="E169" s="19"/>
      <c r="F169" s="19"/>
      <c r="G169" s="19"/>
      <c r="H169" s="19"/>
      <c r="I169" s="19"/>
      <c r="J169" s="23"/>
      <c r="K169" s="29"/>
      <c r="L169" s="212"/>
      <c r="M169" s="25"/>
    </row>
    <row r="170" spans="2:13" outlineLevel="1">
      <c r="B170" s="18"/>
      <c r="C170" s="19" t="s">
        <v>411</v>
      </c>
      <c r="D170" s="177">
        <v>1</v>
      </c>
      <c r="E170" s="18"/>
      <c r="F170" s="18"/>
      <c r="G170" s="18"/>
      <c r="H170" s="18"/>
      <c r="I170" s="18"/>
      <c r="J170" s="24"/>
      <c r="K170" s="25"/>
      <c r="L170" s="99"/>
      <c r="M170" s="25"/>
    </row>
    <row r="171" spans="2:13" outlineLevel="1">
      <c r="B171" s="18"/>
      <c r="C171" s="19" t="s">
        <v>412</v>
      </c>
      <c r="D171" s="177">
        <v>1</v>
      </c>
      <c r="E171" s="18"/>
      <c r="F171" s="18"/>
      <c r="G171" s="18"/>
      <c r="H171" s="18"/>
      <c r="I171" s="18"/>
      <c r="J171" s="24"/>
      <c r="K171" s="25"/>
      <c r="L171" s="99"/>
      <c r="M171" s="25"/>
    </row>
    <row r="172" spans="2:13" outlineLevel="1">
      <c r="B172" s="18"/>
      <c r="C172" s="19"/>
      <c r="D172" s="177"/>
      <c r="E172" s="18"/>
      <c r="F172" s="18"/>
      <c r="G172" s="18"/>
      <c r="H172" s="18"/>
      <c r="I172" s="18"/>
      <c r="J172" s="24"/>
      <c r="K172" s="25"/>
      <c r="L172" s="99"/>
      <c r="M172" s="25"/>
    </row>
    <row r="173" spans="2:13" outlineLevel="1">
      <c r="B173" s="18"/>
      <c r="C173" s="19"/>
      <c r="D173" s="177"/>
      <c r="E173" s="18"/>
      <c r="F173" s="18"/>
      <c r="G173" s="18"/>
      <c r="H173" s="18"/>
      <c r="I173" s="18"/>
      <c r="J173" s="24"/>
      <c r="K173" s="25"/>
      <c r="L173" s="99"/>
      <c r="M173" s="25"/>
    </row>
    <row r="174" spans="2:13" ht="17" outlineLevel="1" thickBot="1">
      <c r="B174" s="26"/>
      <c r="C174" s="19"/>
      <c r="D174" s="177"/>
      <c r="E174" s="26"/>
      <c r="F174" s="26"/>
      <c r="G174" s="26"/>
      <c r="H174" s="26"/>
      <c r="I174" s="26"/>
      <c r="J174" s="27"/>
      <c r="K174" s="28"/>
      <c r="L174" s="213"/>
      <c r="M174" s="25"/>
    </row>
    <row r="175" spans="2:13" ht="84">
      <c r="B175" s="240">
        <v>7</v>
      </c>
      <c r="C175" s="238"/>
      <c r="D175" s="10" t="s">
        <v>9</v>
      </c>
      <c r="E175" s="11" t="s">
        <v>5</v>
      </c>
      <c r="F175" s="10" t="s">
        <v>6</v>
      </c>
      <c r="G175" s="10" t="s">
        <v>7</v>
      </c>
      <c r="H175" s="10" t="s">
        <v>8</v>
      </c>
      <c r="I175" s="11" t="s">
        <v>19</v>
      </c>
      <c r="J175" s="20" t="s">
        <v>20</v>
      </c>
      <c r="K175" s="31" t="s">
        <v>179</v>
      </c>
      <c r="L175" s="214" t="s">
        <v>180</v>
      </c>
      <c r="M175" s="32" t="s">
        <v>275</v>
      </c>
    </row>
    <row r="176" spans="2:13">
      <c r="B176" s="241"/>
      <c r="C176" s="239"/>
      <c r="D176" s="176">
        <v>1</v>
      </c>
      <c r="E176" s="13">
        <v>0.27368999999999999</v>
      </c>
      <c r="F176" s="13">
        <f t="shared" ref="F176" si="40">IF($D$2*D176&lt;=200,0.33,0.25)</f>
        <v>0.33</v>
      </c>
      <c r="G176" s="13">
        <f t="shared" ref="G176:G177" si="41">E176*F176</f>
        <v>9.0317700000000001E-2</v>
      </c>
      <c r="H176" s="14">
        <f t="shared" ref="H176:H177" si="42">IF(($D$2*D176)&gt;40,750,IF(AND(8&lt;=($D$2*D176),($D$2*D176)&lt;=40),850,1000))</f>
        <v>1000</v>
      </c>
      <c r="I176" s="14">
        <f t="shared" ref="I176:I177" si="43">(E176*F176*H176)</f>
        <v>90.317700000000002</v>
      </c>
      <c r="J176" s="21">
        <f>D176*I176</f>
        <v>90.317700000000002</v>
      </c>
      <c r="K176" s="178"/>
      <c r="L176" s="210"/>
      <c r="M176" s="268">
        <f>IFERROR((180/($D$2*D176)),0)</f>
        <v>180</v>
      </c>
    </row>
    <row r="177" spans="2:13" ht="17" thickBot="1">
      <c r="B177" s="242"/>
      <c r="C177" s="15"/>
      <c r="D177" s="179">
        <v>1</v>
      </c>
      <c r="E177" s="16">
        <v>7</v>
      </c>
      <c r="F177" s="208">
        <f t="shared" ref="F177" si="44">IF($D$2*D176&lt;=200,0.017,0.0085)</f>
        <v>1.7000000000000001E-2</v>
      </c>
      <c r="G177" s="17">
        <f t="shared" si="41"/>
        <v>0.11900000000000001</v>
      </c>
      <c r="H177" s="180">
        <f t="shared" si="42"/>
        <v>1000</v>
      </c>
      <c r="I177" s="180">
        <f t="shared" si="43"/>
        <v>119.00000000000001</v>
      </c>
      <c r="J177" s="22">
        <f>D177*I177</f>
        <v>119.00000000000001</v>
      </c>
      <c r="K177" s="181">
        <f t="shared" ref="K177" si="45">G176*D176+G177*D177</f>
        <v>0.2093177</v>
      </c>
      <c r="L177" s="211">
        <f t="shared" ref="L177" si="46">J176+J177</f>
        <v>209.3177</v>
      </c>
      <c r="M177" s="269"/>
    </row>
    <row r="178" spans="2:13" outlineLevel="1">
      <c r="B178" s="19"/>
      <c r="C178" s="19" t="s">
        <v>413</v>
      </c>
      <c r="D178" s="177">
        <v>2</v>
      </c>
      <c r="E178" s="19"/>
      <c r="F178" s="19"/>
      <c r="G178" s="19"/>
      <c r="H178" s="19"/>
      <c r="I178" s="19"/>
      <c r="J178" s="23"/>
      <c r="K178" s="29"/>
      <c r="L178" s="212"/>
      <c r="M178" s="25"/>
    </row>
    <row r="179" spans="2:13" outlineLevel="1">
      <c r="B179" s="18"/>
      <c r="C179" s="19" t="s">
        <v>414</v>
      </c>
      <c r="D179" s="177">
        <v>1</v>
      </c>
      <c r="E179" s="18"/>
      <c r="F179" s="18"/>
      <c r="G179" s="18"/>
      <c r="H179" s="18"/>
      <c r="I179" s="18"/>
      <c r="J179" s="24"/>
      <c r="K179" s="25"/>
      <c r="L179" s="99"/>
      <c r="M179" s="25"/>
    </row>
    <row r="180" spans="2:13" outlineLevel="1">
      <c r="B180" s="18"/>
      <c r="C180" s="19" t="s">
        <v>415</v>
      </c>
      <c r="D180" s="177">
        <v>2</v>
      </c>
      <c r="E180" s="18"/>
      <c r="F180" s="18"/>
      <c r="G180" s="18"/>
      <c r="H180" s="18"/>
      <c r="I180" s="18"/>
      <c r="J180" s="24"/>
      <c r="K180" s="25"/>
      <c r="L180" s="99"/>
      <c r="M180" s="25"/>
    </row>
    <row r="181" spans="2:13" outlineLevel="1">
      <c r="B181" s="18"/>
      <c r="C181" s="19" t="s">
        <v>416</v>
      </c>
      <c r="D181" s="177">
        <v>2</v>
      </c>
      <c r="E181" s="18"/>
      <c r="F181" s="18"/>
      <c r="G181" s="18"/>
      <c r="H181" s="18"/>
      <c r="I181" s="18"/>
      <c r="J181" s="24"/>
      <c r="K181" s="25"/>
      <c r="L181" s="99"/>
      <c r="M181" s="25"/>
    </row>
    <row r="182" spans="2:13" outlineLevel="1">
      <c r="B182" s="18"/>
      <c r="C182" s="19"/>
      <c r="D182" s="177"/>
      <c r="E182" s="18"/>
      <c r="F182" s="18"/>
      <c r="G182" s="18"/>
      <c r="H182" s="18"/>
      <c r="I182" s="18"/>
      <c r="J182" s="24"/>
      <c r="K182" s="25"/>
      <c r="L182" s="99"/>
      <c r="M182" s="25"/>
    </row>
    <row r="183" spans="2:13" ht="17" outlineLevel="1" thickBot="1">
      <c r="B183" s="26"/>
      <c r="C183" s="19"/>
      <c r="D183" s="177"/>
      <c r="E183" s="26"/>
      <c r="F183" s="26"/>
      <c r="G183" s="26"/>
      <c r="H183" s="26"/>
      <c r="I183" s="26"/>
      <c r="J183" s="27"/>
      <c r="K183" s="28"/>
      <c r="L183" s="213"/>
      <c r="M183" s="25"/>
    </row>
    <row r="184" spans="2:13" ht="84">
      <c r="B184" s="240">
        <v>8</v>
      </c>
      <c r="C184" s="238"/>
      <c r="D184" s="10" t="s">
        <v>9</v>
      </c>
      <c r="E184" s="11" t="s">
        <v>5</v>
      </c>
      <c r="F184" s="10" t="s">
        <v>6</v>
      </c>
      <c r="G184" s="10" t="s">
        <v>7</v>
      </c>
      <c r="H184" s="10" t="s">
        <v>8</v>
      </c>
      <c r="I184" s="11" t="s">
        <v>19</v>
      </c>
      <c r="J184" s="20" t="s">
        <v>20</v>
      </c>
      <c r="K184" s="31" t="s">
        <v>179</v>
      </c>
      <c r="L184" s="214" t="s">
        <v>180</v>
      </c>
      <c r="M184" s="32" t="s">
        <v>275</v>
      </c>
    </row>
    <row r="185" spans="2:13">
      <c r="B185" s="241"/>
      <c r="C185" s="239"/>
      <c r="D185" s="176">
        <v>1</v>
      </c>
      <c r="E185" s="13">
        <v>1.4509700000000001</v>
      </c>
      <c r="F185" s="13">
        <f t="shared" ref="F185" si="47">IF($D$2*D185&lt;=200,0.33,0.25)</f>
        <v>0.33</v>
      </c>
      <c r="G185" s="13">
        <f t="shared" ref="G185:G186" si="48">E185*F185</f>
        <v>0.47882010000000003</v>
      </c>
      <c r="H185" s="14">
        <f t="shared" ref="H185:H186" si="49">IF(($D$2*D185)&gt;40,750,IF(AND(8&lt;=($D$2*D185),($D$2*D185)&lt;=40),850,1000))</f>
        <v>1000</v>
      </c>
      <c r="I185" s="14">
        <f t="shared" ref="I185:I186" si="50">(E185*F185*H185)</f>
        <v>478.82010000000002</v>
      </c>
      <c r="J185" s="21">
        <f>D185*I185</f>
        <v>478.82010000000002</v>
      </c>
      <c r="K185" s="178"/>
      <c r="L185" s="210"/>
      <c r="M185" s="268">
        <f>IFERROR((180/($D$2*D185)),0)</f>
        <v>180</v>
      </c>
    </row>
    <row r="186" spans="2:13" ht="17" thickBot="1">
      <c r="B186" s="242"/>
      <c r="C186" s="15"/>
      <c r="D186" s="179">
        <v>1</v>
      </c>
      <c r="E186" s="16">
        <v>21</v>
      </c>
      <c r="F186" s="208">
        <f t="shared" ref="F186" si="51">IF($D$2*D185&lt;=200,0.017,0.0085)</f>
        <v>1.7000000000000001E-2</v>
      </c>
      <c r="G186" s="17">
        <f t="shared" si="48"/>
        <v>0.35700000000000004</v>
      </c>
      <c r="H186" s="180">
        <f t="shared" si="49"/>
        <v>1000</v>
      </c>
      <c r="I186" s="180">
        <f t="shared" si="50"/>
        <v>357.00000000000006</v>
      </c>
      <c r="J186" s="22">
        <f>D186*I186</f>
        <v>357.00000000000006</v>
      </c>
      <c r="K186" s="181">
        <f t="shared" ref="K186" si="52">G185*D185+G186*D186</f>
        <v>0.83582010000000007</v>
      </c>
      <c r="L186" s="211">
        <f t="shared" ref="L186" si="53">J185+J186</f>
        <v>835.82010000000014</v>
      </c>
      <c r="M186" s="269"/>
    </row>
    <row r="187" spans="2:13" outlineLevel="1">
      <c r="B187" s="19"/>
      <c r="C187" s="19" t="s">
        <v>390</v>
      </c>
      <c r="D187" s="177">
        <v>1</v>
      </c>
      <c r="E187" s="19"/>
      <c r="F187" s="19"/>
      <c r="G187" s="19"/>
      <c r="H187" s="19"/>
      <c r="I187" s="19"/>
      <c r="J187" s="23"/>
      <c r="K187" s="29"/>
      <c r="L187" s="212"/>
      <c r="M187" s="25"/>
    </row>
    <row r="188" spans="2:13" outlineLevel="1">
      <c r="B188" s="19"/>
      <c r="C188" s="19" t="s">
        <v>417</v>
      </c>
      <c r="D188" s="177">
        <v>1</v>
      </c>
      <c r="E188" s="19"/>
      <c r="F188" s="19"/>
      <c r="G188" s="19"/>
      <c r="H188" s="19"/>
      <c r="I188" s="19"/>
      <c r="J188" s="23"/>
      <c r="K188" s="29"/>
      <c r="L188" s="212"/>
      <c r="M188" s="25"/>
    </row>
    <row r="189" spans="2:13" outlineLevel="1">
      <c r="B189" s="19"/>
      <c r="C189" s="19" t="s">
        <v>418</v>
      </c>
      <c r="D189" s="177">
        <v>4</v>
      </c>
      <c r="E189" s="19"/>
      <c r="F189" s="19"/>
      <c r="G189" s="19"/>
      <c r="H189" s="19"/>
      <c r="I189" s="19"/>
      <c r="J189" s="23"/>
      <c r="K189" s="29"/>
      <c r="L189" s="212"/>
      <c r="M189" s="25"/>
    </row>
    <row r="190" spans="2:13" outlineLevel="1">
      <c r="B190" s="19"/>
      <c r="C190" s="19" t="s">
        <v>419</v>
      </c>
      <c r="D190" s="177">
        <v>1</v>
      </c>
      <c r="E190" s="19"/>
      <c r="F190" s="19"/>
      <c r="G190" s="19"/>
      <c r="H190" s="19"/>
      <c r="I190" s="19"/>
      <c r="J190" s="23"/>
      <c r="K190" s="29"/>
      <c r="L190" s="212"/>
      <c r="M190" s="25"/>
    </row>
    <row r="191" spans="2:13" outlineLevel="1">
      <c r="B191" s="19"/>
      <c r="C191" s="19" t="s">
        <v>420</v>
      </c>
      <c r="D191" s="177">
        <v>2</v>
      </c>
      <c r="E191" s="19"/>
      <c r="F191" s="19"/>
      <c r="G191" s="19"/>
      <c r="H191" s="19"/>
      <c r="I191" s="19"/>
      <c r="J191" s="23"/>
      <c r="K191" s="29"/>
      <c r="L191" s="212"/>
      <c r="M191" s="25"/>
    </row>
    <row r="192" spans="2:13" outlineLevel="1">
      <c r="B192" s="19"/>
      <c r="C192" s="19" t="s">
        <v>421</v>
      </c>
      <c r="D192" s="177">
        <v>3</v>
      </c>
      <c r="E192" s="19"/>
      <c r="F192" s="19"/>
      <c r="G192" s="19"/>
      <c r="H192" s="19"/>
      <c r="I192" s="19"/>
      <c r="J192" s="23"/>
      <c r="K192" s="29"/>
      <c r="L192" s="212"/>
      <c r="M192" s="25"/>
    </row>
    <row r="193" spans="2:13" outlineLevel="1">
      <c r="B193" s="18"/>
      <c r="C193" s="19" t="s">
        <v>422</v>
      </c>
      <c r="D193" s="177">
        <v>4</v>
      </c>
      <c r="E193" s="18"/>
      <c r="F193" s="18"/>
      <c r="G193" s="18"/>
      <c r="H193" s="18"/>
      <c r="I193" s="18"/>
      <c r="J193" s="24"/>
      <c r="K193" s="25"/>
      <c r="L193" s="99"/>
      <c r="M193" s="25"/>
    </row>
    <row r="194" spans="2:13" outlineLevel="1">
      <c r="B194" s="18"/>
      <c r="C194" s="19" t="s">
        <v>423</v>
      </c>
      <c r="D194" s="177">
        <v>2</v>
      </c>
      <c r="E194" s="18"/>
      <c r="F194" s="18"/>
      <c r="G194" s="18"/>
      <c r="H194" s="18"/>
      <c r="I194" s="18"/>
      <c r="J194" s="24"/>
      <c r="K194" s="25"/>
      <c r="L194" s="99"/>
      <c r="M194" s="25"/>
    </row>
    <row r="195" spans="2:13" outlineLevel="1">
      <c r="B195" s="18"/>
      <c r="C195" s="19" t="s">
        <v>424</v>
      </c>
      <c r="D195" s="177">
        <v>1</v>
      </c>
      <c r="E195" s="18"/>
      <c r="F195" s="18"/>
      <c r="G195" s="18"/>
      <c r="H195" s="18"/>
      <c r="I195" s="18"/>
      <c r="J195" s="24"/>
      <c r="K195" s="25"/>
      <c r="L195" s="99"/>
      <c r="M195" s="25"/>
    </row>
    <row r="196" spans="2:13" outlineLevel="1">
      <c r="B196" s="18"/>
      <c r="C196" s="19" t="s">
        <v>425</v>
      </c>
      <c r="D196" s="177">
        <v>1</v>
      </c>
      <c r="E196" s="18"/>
      <c r="F196" s="18"/>
      <c r="G196" s="18"/>
      <c r="H196" s="18"/>
      <c r="I196" s="18"/>
      <c r="J196" s="24"/>
      <c r="K196" s="25"/>
      <c r="L196" s="99"/>
      <c r="M196" s="25"/>
    </row>
    <row r="197" spans="2:13" ht="17" outlineLevel="1" thickBot="1">
      <c r="B197" s="26"/>
      <c r="C197" s="19" t="s">
        <v>426</v>
      </c>
      <c r="D197" s="177">
        <v>1</v>
      </c>
      <c r="E197" s="26"/>
      <c r="F197" s="26"/>
      <c r="G197" s="26"/>
      <c r="H197" s="26"/>
      <c r="I197" s="26"/>
      <c r="J197" s="27"/>
      <c r="K197" s="28"/>
      <c r="L197" s="213"/>
      <c r="M197" s="25"/>
    </row>
    <row r="198" spans="2:13" ht="84" customHeight="1">
      <c r="B198" s="240">
        <v>9</v>
      </c>
      <c r="C198" s="238"/>
      <c r="D198" s="10" t="s">
        <v>9</v>
      </c>
      <c r="E198" s="11" t="s">
        <v>5</v>
      </c>
      <c r="F198" s="10" t="s">
        <v>6</v>
      </c>
      <c r="G198" s="10" t="s">
        <v>7</v>
      </c>
      <c r="H198" s="10" t="s">
        <v>8</v>
      </c>
      <c r="I198" s="11" t="s">
        <v>19</v>
      </c>
      <c r="J198" s="20" t="s">
        <v>20</v>
      </c>
      <c r="K198" s="31" t="s">
        <v>179</v>
      </c>
      <c r="L198" s="214" t="s">
        <v>180</v>
      </c>
      <c r="M198" s="32" t="s">
        <v>275</v>
      </c>
    </row>
    <row r="199" spans="2:13">
      <c r="B199" s="241"/>
      <c r="C199" s="239"/>
      <c r="D199" s="176">
        <v>1</v>
      </c>
      <c r="E199" s="13">
        <v>0.26</v>
      </c>
      <c r="F199" s="13">
        <f t="shared" ref="F199" si="54">IF($D$2*D199&lt;=200,0.33,0.25)</f>
        <v>0.33</v>
      </c>
      <c r="G199" s="13">
        <f t="shared" ref="G199:G200" si="55">E199*F199</f>
        <v>8.5800000000000001E-2</v>
      </c>
      <c r="H199" s="14">
        <f t="shared" ref="H199:H200" si="56">IF(($D$2*D199)&gt;40,750,IF(AND(8&lt;=($D$2*D199),($D$2*D199)&lt;=40),850,1000))</f>
        <v>1000</v>
      </c>
      <c r="I199" s="14">
        <f t="shared" ref="I199:I200" si="57">(E199*F199*H199)</f>
        <v>85.8</v>
      </c>
      <c r="J199" s="21">
        <f>D199*I199</f>
        <v>85.8</v>
      </c>
      <c r="K199" s="178"/>
      <c r="L199" s="210"/>
      <c r="M199" s="268">
        <f>IFERROR((180/($D$2*D199)),0)</f>
        <v>180</v>
      </c>
    </row>
    <row r="200" spans="2:13" ht="17" thickBot="1">
      <c r="B200" s="242"/>
      <c r="C200" s="15"/>
      <c r="D200" s="179">
        <v>1</v>
      </c>
      <c r="E200" s="16">
        <v>2</v>
      </c>
      <c r="F200" s="208">
        <f t="shared" ref="F200" si="58">IF($D$2*D199&lt;=200,0.017,0.0085)</f>
        <v>1.7000000000000001E-2</v>
      </c>
      <c r="G200" s="17">
        <f t="shared" si="55"/>
        <v>3.4000000000000002E-2</v>
      </c>
      <c r="H200" s="180">
        <f t="shared" si="56"/>
        <v>1000</v>
      </c>
      <c r="I200" s="180">
        <f t="shared" si="57"/>
        <v>34</v>
      </c>
      <c r="J200" s="22">
        <f>D200*I200</f>
        <v>34</v>
      </c>
      <c r="K200" s="181">
        <f t="shared" ref="K200" si="59">G199*D199+G200*D200</f>
        <v>0.1198</v>
      </c>
      <c r="L200" s="211">
        <f t="shared" ref="L200" si="60">J199+J200</f>
        <v>119.8</v>
      </c>
      <c r="M200" s="269"/>
    </row>
    <row r="201" spans="2:13" outlineLevel="1">
      <c r="B201" s="19"/>
      <c r="C201" s="19" t="s">
        <v>427</v>
      </c>
      <c r="D201" s="177">
        <v>1</v>
      </c>
      <c r="E201" s="19"/>
      <c r="F201" s="19"/>
      <c r="G201" s="19"/>
      <c r="H201" s="19"/>
      <c r="I201" s="19"/>
      <c r="J201" s="23"/>
      <c r="K201" s="29"/>
      <c r="L201" s="212"/>
      <c r="M201" s="25"/>
    </row>
    <row r="202" spans="2:13" outlineLevel="1">
      <c r="B202" s="18"/>
      <c r="C202" s="19" t="s">
        <v>428</v>
      </c>
      <c r="D202" s="177">
        <v>1</v>
      </c>
      <c r="E202" s="18"/>
      <c r="F202" s="18"/>
      <c r="G202" s="18"/>
      <c r="H202" s="18"/>
      <c r="I202" s="18"/>
      <c r="J202" s="24"/>
      <c r="K202" s="25"/>
      <c r="L202" s="99"/>
      <c r="M202" s="25"/>
    </row>
    <row r="203" spans="2:13" outlineLevel="1">
      <c r="B203" s="18"/>
      <c r="C203" s="19"/>
      <c r="D203" s="177"/>
      <c r="E203" s="18"/>
      <c r="F203" s="18"/>
      <c r="G203" s="18"/>
      <c r="H203" s="18"/>
      <c r="I203" s="18"/>
      <c r="J203" s="24"/>
      <c r="K203" s="25"/>
      <c r="L203" s="99"/>
      <c r="M203" s="25"/>
    </row>
    <row r="204" spans="2:13" outlineLevel="1">
      <c r="B204" s="18"/>
      <c r="C204" s="19"/>
      <c r="D204" s="177"/>
      <c r="E204" s="18"/>
      <c r="F204" s="18"/>
      <c r="G204" s="18"/>
      <c r="H204" s="18"/>
      <c r="I204" s="18"/>
      <c r="J204" s="24"/>
      <c r="K204" s="25"/>
      <c r="L204" s="99"/>
      <c r="M204" s="25"/>
    </row>
    <row r="205" spans="2:13" outlineLevel="1">
      <c r="B205" s="18"/>
      <c r="C205" s="19"/>
      <c r="D205" s="177"/>
      <c r="E205" s="18"/>
      <c r="F205" s="18"/>
      <c r="G205" s="18"/>
      <c r="H205" s="18"/>
      <c r="I205" s="18"/>
      <c r="J205" s="24"/>
      <c r="K205" s="25"/>
      <c r="L205" s="99"/>
      <c r="M205" s="25"/>
    </row>
    <row r="206" spans="2:13" ht="17" outlineLevel="1" thickBot="1">
      <c r="B206" s="26"/>
      <c r="C206" s="19"/>
      <c r="D206" s="177"/>
      <c r="E206" s="26"/>
      <c r="F206" s="26"/>
      <c r="G206" s="26"/>
      <c r="H206" s="26"/>
      <c r="I206" s="26"/>
      <c r="J206" s="27"/>
      <c r="K206" s="28"/>
      <c r="L206" s="213"/>
      <c r="M206" s="25"/>
    </row>
    <row r="207" spans="2:13" ht="78.75" customHeight="1">
      <c r="B207" s="240">
        <v>10</v>
      </c>
      <c r="C207" s="238"/>
      <c r="D207" s="10" t="s">
        <v>9</v>
      </c>
      <c r="E207" s="11" t="s">
        <v>5</v>
      </c>
      <c r="F207" s="10" t="s">
        <v>6</v>
      </c>
      <c r="G207" s="10" t="s">
        <v>7</v>
      </c>
      <c r="H207" s="10" t="s">
        <v>8</v>
      </c>
      <c r="I207" s="11" t="s">
        <v>19</v>
      </c>
      <c r="J207" s="20" t="s">
        <v>20</v>
      </c>
      <c r="K207" s="31" t="s">
        <v>179</v>
      </c>
      <c r="L207" s="214" t="s">
        <v>180</v>
      </c>
      <c r="M207" s="32" t="s">
        <v>275</v>
      </c>
    </row>
    <row r="208" spans="2:13">
      <c r="B208" s="241"/>
      <c r="C208" s="239"/>
      <c r="D208" s="176">
        <v>1</v>
      </c>
      <c r="E208" s="13">
        <v>0.17993999999999999</v>
      </c>
      <c r="F208" s="13">
        <f t="shared" ref="F208" si="61">IF($D$2*D208&lt;=200,0.33,0.25)</f>
        <v>0.33</v>
      </c>
      <c r="G208" s="13">
        <f t="shared" ref="G208:G209" si="62">E208*F208</f>
        <v>5.9380200000000001E-2</v>
      </c>
      <c r="H208" s="14">
        <f t="shared" ref="H208:H209" si="63">IF(($D$2*D208)&gt;40,750,IF(AND(8&lt;=($D$2*D208),($D$2*D208)&lt;=40),850,1000))</f>
        <v>1000</v>
      </c>
      <c r="I208" s="14">
        <f t="shared" ref="I208:I209" si="64">(E208*F208*H208)</f>
        <v>59.380200000000002</v>
      </c>
      <c r="J208" s="21">
        <f>D208*I208</f>
        <v>59.380200000000002</v>
      </c>
      <c r="K208" s="178"/>
      <c r="L208" s="210"/>
      <c r="M208" s="268">
        <f>IFERROR((180/($D$2*D208)),0)</f>
        <v>180</v>
      </c>
    </row>
    <row r="209" spans="2:13" ht="17" thickBot="1">
      <c r="B209" s="242"/>
      <c r="C209" s="15"/>
      <c r="D209" s="179">
        <v>1</v>
      </c>
      <c r="E209" s="16">
        <v>4</v>
      </c>
      <c r="F209" s="208">
        <f t="shared" ref="F209" si="65">IF($D$2*D208&lt;=200,0.017,0.0085)</f>
        <v>1.7000000000000001E-2</v>
      </c>
      <c r="G209" s="17">
        <f t="shared" si="62"/>
        <v>6.8000000000000005E-2</v>
      </c>
      <c r="H209" s="180">
        <f t="shared" si="63"/>
        <v>1000</v>
      </c>
      <c r="I209" s="180">
        <f t="shared" si="64"/>
        <v>68</v>
      </c>
      <c r="J209" s="22">
        <f>D209*I209</f>
        <v>68</v>
      </c>
      <c r="K209" s="181">
        <f t="shared" ref="K209" si="66">G208*D208+G209*D209</f>
        <v>0.1273802</v>
      </c>
      <c r="L209" s="211">
        <f t="shared" ref="L209" si="67">J208+J209</f>
        <v>127.3802</v>
      </c>
      <c r="M209" s="269"/>
    </row>
    <row r="210" spans="2:13" outlineLevel="1">
      <c r="B210" s="19"/>
      <c r="C210" s="19" t="s">
        <v>429</v>
      </c>
      <c r="D210" s="177">
        <v>2</v>
      </c>
      <c r="E210" s="19"/>
      <c r="F210" s="19"/>
      <c r="G210" s="19"/>
      <c r="H210" s="19"/>
      <c r="I210" s="19"/>
      <c r="J210" s="23"/>
      <c r="K210" s="29"/>
      <c r="L210" s="212"/>
      <c r="M210" s="25"/>
    </row>
    <row r="211" spans="2:13" outlineLevel="1">
      <c r="B211" s="18"/>
      <c r="C211" s="19" t="s">
        <v>430</v>
      </c>
      <c r="D211" s="177">
        <v>2</v>
      </c>
      <c r="E211" s="18"/>
      <c r="F211" s="18"/>
      <c r="G211" s="18"/>
      <c r="H211" s="18"/>
      <c r="I211" s="18"/>
      <c r="J211" s="24"/>
      <c r="K211" s="25"/>
      <c r="L211" s="99"/>
      <c r="M211" s="25"/>
    </row>
    <row r="212" spans="2:13" outlineLevel="1">
      <c r="B212" s="18"/>
      <c r="C212" s="19"/>
      <c r="D212" s="177"/>
      <c r="E212" s="18"/>
      <c r="F212" s="18"/>
      <c r="G212" s="18"/>
      <c r="H212" s="18"/>
      <c r="I212" s="18"/>
      <c r="J212" s="24"/>
      <c r="K212" s="25"/>
      <c r="L212" s="99"/>
      <c r="M212" s="25"/>
    </row>
    <row r="213" spans="2:13" outlineLevel="1">
      <c r="B213" s="18"/>
      <c r="C213" s="19"/>
      <c r="D213" s="177"/>
      <c r="E213" s="18"/>
      <c r="F213" s="18"/>
      <c r="G213" s="18"/>
      <c r="H213" s="18"/>
      <c r="I213" s="18"/>
      <c r="J213" s="24"/>
      <c r="K213" s="25"/>
      <c r="L213" s="99"/>
      <c r="M213" s="25"/>
    </row>
    <row r="214" spans="2:13" outlineLevel="1">
      <c r="B214" s="18"/>
      <c r="C214" s="19"/>
      <c r="D214" s="177"/>
      <c r="E214" s="18"/>
      <c r="F214" s="18"/>
      <c r="G214" s="18"/>
      <c r="H214" s="18"/>
      <c r="I214" s="18"/>
      <c r="J214" s="24"/>
      <c r="K214" s="25"/>
      <c r="L214" s="99"/>
      <c r="M214" s="25"/>
    </row>
    <row r="215" spans="2:13" ht="17" outlineLevel="1" thickBot="1">
      <c r="B215" s="26"/>
      <c r="C215" s="19"/>
      <c r="D215" s="177"/>
      <c r="E215" s="26"/>
      <c r="F215" s="26"/>
      <c r="G215" s="26"/>
      <c r="H215" s="26"/>
      <c r="I215" s="26"/>
      <c r="J215" s="27"/>
      <c r="K215" s="28"/>
      <c r="L215" s="213"/>
      <c r="M215" s="25"/>
    </row>
    <row r="216" spans="2:13" ht="63" customHeight="1">
      <c r="B216" s="240">
        <v>11</v>
      </c>
      <c r="C216" s="238"/>
      <c r="D216" s="10" t="s">
        <v>9</v>
      </c>
      <c r="E216" s="11" t="s">
        <v>5</v>
      </c>
      <c r="F216" s="10" t="s">
        <v>6</v>
      </c>
      <c r="G216" s="10" t="s">
        <v>7</v>
      </c>
      <c r="H216" s="10" t="s">
        <v>8</v>
      </c>
      <c r="I216" s="11" t="s">
        <v>19</v>
      </c>
      <c r="J216" s="20" t="s">
        <v>20</v>
      </c>
      <c r="K216" s="31" t="s">
        <v>179</v>
      </c>
      <c r="L216" s="214" t="s">
        <v>180</v>
      </c>
      <c r="M216" s="32" t="s">
        <v>275</v>
      </c>
    </row>
    <row r="217" spans="2:13">
      <c r="B217" s="241"/>
      <c r="C217" s="239"/>
      <c r="D217" s="176">
        <v>1</v>
      </c>
      <c r="E217" s="13">
        <v>0.74212</v>
      </c>
      <c r="F217" s="13">
        <f t="shared" ref="F217" si="68">IF($D$2*D217&lt;=200,0.33,0.25)</f>
        <v>0.33</v>
      </c>
      <c r="G217" s="13">
        <f t="shared" ref="G217:G218" si="69">E217*F217</f>
        <v>0.24489960000000002</v>
      </c>
      <c r="H217" s="14">
        <f t="shared" ref="H217:H218" si="70">IF(($D$2*D217)&gt;40,750,IF(AND(8&lt;=($D$2*D217),($D$2*D217)&lt;=40),850,1000))</f>
        <v>1000</v>
      </c>
      <c r="I217" s="14">
        <f t="shared" ref="I217:I218" si="71">(E217*F217*H217)</f>
        <v>244.89960000000002</v>
      </c>
      <c r="J217" s="21">
        <f>D217*I217</f>
        <v>244.89960000000002</v>
      </c>
      <c r="K217" s="178"/>
      <c r="L217" s="210"/>
      <c r="M217" s="268">
        <f>IFERROR((180/($D$2*D217)),0)</f>
        <v>180</v>
      </c>
    </row>
    <row r="218" spans="2:13" ht="17" thickBot="1">
      <c r="B218" s="242"/>
      <c r="C218" s="15"/>
      <c r="D218" s="179">
        <v>1</v>
      </c>
      <c r="E218" s="16">
        <v>6</v>
      </c>
      <c r="F218" s="208">
        <f t="shared" ref="F218" si="72">IF($D$2*D217&lt;=200,0.017,0.0085)</f>
        <v>1.7000000000000001E-2</v>
      </c>
      <c r="G218" s="17">
        <f t="shared" si="69"/>
        <v>0.10200000000000001</v>
      </c>
      <c r="H218" s="180">
        <f t="shared" si="70"/>
        <v>1000</v>
      </c>
      <c r="I218" s="180">
        <f t="shared" si="71"/>
        <v>102.00000000000001</v>
      </c>
      <c r="J218" s="22">
        <f>D218*I218</f>
        <v>102.00000000000001</v>
      </c>
      <c r="K218" s="181">
        <f t="shared" ref="K218" si="73">G217*D217+G218*D218</f>
        <v>0.34689960000000003</v>
      </c>
      <c r="L218" s="211">
        <f t="shared" ref="L218" si="74">J217+J218</f>
        <v>346.89960000000002</v>
      </c>
      <c r="M218" s="269"/>
    </row>
    <row r="219" spans="2:13" outlineLevel="1">
      <c r="B219" s="19"/>
      <c r="C219" s="19" t="s">
        <v>431</v>
      </c>
      <c r="D219" s="177">
        <v>4</v>
      </c>
      <c r="E219" s="19"/>
      <c r="F219" s="19"/>
      <c r="G219" s="19"/>
      <c r="H219" s="19"/>
      <c r="I219" s="19"/>
      <c r="J219" s="23"/>
      <c r="K219" s="29"/>
      <c r="L219" s="212"/>
      <c r="M219" s="25"/>
    </row>
    <row r="220" spans="2:13" outlineLevel="1">
      <c r="B220" s="18"/>
      <c r="C220" s="19" t="s">
        <v>432</v>
      </c>
      <c r="D220" s="177">
        <v>1</v>
      </c>
      <c r="E220" s="18"/>
      <c r="F220" s="18"/>
      <c r="G220" s="18"/>
      <c r="H220" s="18"/>
      <c r="I220" s="18"/>
      <c r="J220" s="24"/>
      <c r="K220" s="25"/>
      <c r="L220" s="99"/>
      <c r="M220" s="25"/>
    </row>
    <row r="221" spans="2:13" outlineLevel="1">
      <c r="B221" s="18"/>
      <c r="C221" s="19" t="s">
        <v>433</v>
      </c>
      <c r="D221" s="177">
        <v>1</v>
      </c>
      <c r="E221" s="18"/>
      <c r="F221" s="18"/>
      <c r="G221" s="18"/>
      <c r="H221" s="18"/>
      <c r="I221" s="18"/>
      <c r="J221" s="24"/>
      <c r="K221" s="25"/>
      <c r="L221" s="99"/>
      <c r="M221" s="25"/>
    </row>
    <row r="222" spans="2:13" outlineLevel="1">
      <c r="B222" s="18"/>
      <c r="C222" s="19"/>
      <c r="D222" s="177"/>
      <c r="E222" s="18"/>
      <c r="F222" s="18"/>
      <c r="G222" s="18"/>
      <c r="H222" s="18"/>
      <c r="I222" s="18"/>
      <c r="J222" s="24"/>
      <c r="K222" s="25"/>
      <c r="L222" s="99"/>
      <c r="M222" s="25"/>
    </row>
    <row r="223" spans="2:13" outlineLevel="1">
      <c r="B223" s="18"/>
      <c r="C223" s="19"/>
      <c r="D223" s="177"/>
      <c r="E223" s="18"/>
      <c r="F223" s="18"/>
      <c r="G223" s="18"/>
      <c r="H223" s="18"/>
      <c r="I223" s="18"/>
      <c r="J223" s="24"/>
      <c r="K223" s="25"/>
      <c r="L223" s="99"/>
      <c r="M223" s="25"/>
    </row>
    <row r="224" spans="2:13" ht="17" outlineLevel="1" thickBot="1">
      <c r="B224" s="26"/>
      <c r="C224" s="19"/>
      <c r="D224" s="177"/>
      <c r="E224" s="26"/>
      <c r="F224" s="26"/>
      <c r="G224" s="26"/>
      <c r="H224" s="26"/>
      <c r="I224" s="26"/>
      <c r="J224" s="27"/>
      <c r="K224" s="28"/>
      <c r="L224" s="213"/>
      <c r="M224" s="25"/>
    </row>
    <row r="225" spans="2:13" ht="83.25" customHeight="1">
      <c r="B225" s="240">
        <v>12</v>
      </c>
      <c r="C225" s="238"/>
      <c r="D225" s="10" t="s">
        <v>9</v>
      </c>
      <c r="E225" s="11" t="s">
        <v>5</v>
      </c>
      <c r="F225" s="10" t="s">
        <v>6</v>
      </c>
      <c r="G225" s="10" t="s">
        <v>7</v>
      </c>
      <c r="H225" s="10" t="s">
        <v>8</v>
      </c>
      <c r="I225" s="11" t="s">
        <v>19</v>
      </c>
      <c r="J225" s="20" t="s">
        <v>20</v>
      </c>
      <c r="K225" s="31" t="s">
        <v>179</v>
      </c>
      <c r="L225" s="214" t="s">
        <v>180</v>
      </c>
      <c r="M225" s="32" t="s">
        <v>275</v>
      </c>
    </row>
    <row r="226" spans="2:13">
      <c r="B226" s="241"/>
      <c r="C226" s="239"/>
      <c r="D226" s="176">
        <v>4</v>
      </c>
      <c r="E226" s="13">
        <v>0.03</v>
      </c>
      <c r="F226" s="13">
        <f t="shared" ref="F226" si="75">IF($D$2*D226&lt;=200,0.33,0.25)</f>
        <v>0.33</v>
      </c>
      <c r="G226" s="13">
        <f t="shared" ref="G226:G227" si="76">E226*F226</f>
        <v>9.9000000000000008E-3</v>
      </c>
      <c r="H226" s="14">
        <f t="shared" ref="H226:H227" si="77">IF(($D$2*D226)&gt;40,750,IF(AND(8&lt;=($D$2*D226),($D$2*D226)&lt;=40),850,1000))</f>
        <v>1000</v>
      </c>
      <c r="I226" s="14">
        <f t="shared" ref="I226:I227" si="78">(E226*F226*H226)</f>
        <v>9.9</v>
      </c>
      <c r="J226" s="21">
        <f>D226*I226</f>
        <v>39.6</v>
      </c>
      <c r="K226" s="178"/>
      <c r="L226" s="210"/>
      <c r="M226" s="268">
        <f>IFERROR((180/($D$2*D226)),0)</f>
        <v>45</v>
      </c>
    </row>
    <row r="227" spans="2:13" ht="17" thickBot="1">
      <c r="B227" s="242"/>
      <c r="C227" s="15"/>
      <c r="D227" s="179">
        <v>4</v>
      </c>
      <c r="E227" s="16">
        <v>2</v>
      </c>
      <c r="F227" s="208">
        <f t="shared" ref="F227" si="79">IF($D$2*D226&lt;=200,0.017,0.0085)</f>
        <v>1.7000000000000001E-2</v>
      </c>
      <c r="G227" s="17">
        <f t="shared" si="76"/>
        <v>3.4000000000000002E-2</v>
      </c>
      <c r="H227" s="180">
        <f t="shared" si="77"/>
        <v>1000</v>
      </c>
      <c r="I227" s="180">
        <f t="shared" si="78"/>
        <v>34</v>
      </c>
      <c r="J227" s="22">
        <f>D227*I227</f>
        <v>136</v>
      </c>
      <c r="K227" s="181">
        <f t="shared" ref="K227" si="80">G226*D226+G227*D227</f>
        <v>0.17560000000000001</v>
      </c>
      <c r="L227" s="211">
        <f t="shared" ref="L227" si="81">J226+J227</f>
        <v>175.6</v>
      </c>
      <c r="M227" s="269"/>
    </row>
    <row r="228" spans="2:13" outlineLevel="1">
      <c r="B228" s="19"/>
      <c r="C228" s="19" t="s">
        <v>434</v>
      </c>
      <c r="D228" s="177">
        <v>1</v>
      </c>
      <c r="E228" s="19"/>
      <c r="F228" s="19"/>
      <c r="G228" s="19"/>
      <c r="H228" s="19"/>
      <c r="I228" s="19"/>
      <c r="J228" s="23"/>
      <c r="K228" s="29"/>
      <c r="L228" s="212"/>
      <c r="M228" s="25"/>
    </row>
    <row r="229" spans="2:13" outlineLevel="1">
      <c r="B229" s="18"/>
      <c r="C229" s="19" t="s">
        <v>435</v>
      </c>
      <c r="D229" s="177">
        <v>1</v>
      </c>
      <c r="E229" s="18"/>
      <c r="F229" s="18"/>
      <c r="G229" s="18"/>
      <c r="H229" s="18"/>
      <c r="I229" s="18"/>
      <c r="J229" s="24"/>
      <c r="K229" s="25"/>
      <c r="L229" s="99"/>
      <c r="M229" s="25"/>
    </row>
    <row r="230" spans="2:13" outlineLevel="1">
      <c r="B230" s="18"/>
      <c r="C230" s="19"/>
      <c r="D230" s="177"/>
      <c r="E230" s="18"/>
      <c r="F230" s="18"/>
      <c r="G230" s="18"/>
      <c r="H230" s="18"/>
      <c r="I230" s="18"/>
      <c r="J230" s="24"/>
      <c r="K230" s="25"/>
      <c r="L230" s="99"/>
      <c r="M230" s="25"/>
    </row>
    <row r="231" spans="2:13" outlineLevel="1">
      <c r="B231" s="18"/>
      <c r="C231" s="19"/>
      <c r="D231" s="177"/>
      <c r="E231" s="18"/>
      <c r="F231" s="18"/>
      <c r="G231" s="18"/>
      <c r="H231" s="18"/>
      <c r="I231" s="18"/>
      <c r="J231" s="24"/>
      <c r="K231" s="25"/>
      <c r="L231" s="99"/>
      <c r="M231" s="25"/>
    </row>
    <row r="232" spans="2:13" outlineLevel="1">
      <c r="B232" s="18"/>
      <c r="C232" s="19"/>
      <c r="D232" s="177"/>
      <c r="E232" s="18"/>
      <c r="F232" s="18"/>
      <c r="G232" s="18"/>
      <c r="H232" s="18"/>
      <c r="I232" s="18"/>
      <c r="J232" s="24"/>
      <c r="K232" s="25"/>
      <c r="L232" s="99"/>
      <c r="M232" s="25"/>
    </row>
    <row r="233" spans="2:13" ht="17" outlineLevel="1" thickBot="1">
      <c r="B233" s="26"/>
      <c r="C233" s="19"/>
      <c r="D233" s="177"/>
      <c r="E233" s="26"/>
      <c r="F233" s="26"/>
      <c r="G233" s="26"/>
      <c r="H233" s="26"/>
      <c r="I233" s="26"/>
      <c r="J233" s="27"/>
      <c r="K233" s="28"/>
      <c r="L233" s="213"/>
      <c r="M233" s="25"/>
    </row>
    <row r="234" spans="2:13" ht="67.5" customHeight="1">
      <c r="B234" s="240">
        <v>13</v>
      </c>
      <c r="C234" s="238"/>
      <c r="D234" s="10" t="s">
        <v>9</v>
      </c>
      <c r="E234" s="11" t="s">
        <v>5</v>
      </c>
      <c r="F234" s="10" t="s">
        <v>6</v>
      </c>
      <c r="G234" s="10" t="s">
        <v>7</v>
      </c>
      <c r="H234" s="10" t="s">
        <v>8</v>
      </c>
      <c r="I234" s="11" t="s">
        <v>19</v>
      </c>
      <c r="J234" s="20" t="s">
        <v>20</v>
      </c>
      <c r="K234" s="31" t="s">
        <v>179</v>
      </c>
      <c r="L234" s="214" t="s">
        <v>180</v>
      </c>
      <c r="M234" s="32" t="s">
        <v>275</v>
      </c>
    </row>
    <row r="235" spans="2:13">
      <c r="B235" s="241"/>
      <c r="C235" s="239"/>
      <c r="D235" s="176">
        <v>1</v>
      </c>
      <c r="E235" s="13">
        <v>0.33706999999999998</v>
      </c>
      <c r="F235" s="13">
        <f t="shared" ref="F235" si="82">IF($D$2*D235&lt;=200,0.33,0.25)</f>
        <v>0.33</v>
      </c>
      <c r="G235" s="13">
        <f t="shared" ref="G235:G236" si="83">E235*F235</f>
        <v>0.1112331</v>
      </c>
      <c r="H235" s="14">
        <f t="shared" ref="H235:H236" si="84">IF(($D$2*D235)&gt;40,750,IF(AND(8&lt;=($D$2*D235),($D$2*D235)&lt;=40),850,1000))</f>
        <v>1000</v>
      </c>
      <c r="I235" s="14">
        <f t="shared" ref="I235:I236" si="85">(E235*F235*H235)</f>
        <v>111.23310000000001</v>
      </c>
      <c r="J235" s="21">
        <f>D235*I235</f>
        <v>111.23310000000001</v>
      </c>
      <c r="K235" s="178"/>
      <c r="L235" s="210"/>
      <c r="M235" s="268">
        <f>IFERROR((180/($D$2*D235)),0)</f>
        <v>180</v>
      </c>
    </row>
    <row r="236" spans="2:13" ht="17" thickBot="1">
      <c r="B236" s="242"/>
      <c r="C236" s="15"/>
      <c r="D236" s="179">
        <v>1</v>
      </c>
      <c r="E236" s="16">
        <v>6</v>
      </c>
      <c r="F236" s="208">
        <f t="shared" ref="F236" si="86">IF($D$2*D235&lt;=200,0.017,0.0085)</f>
        <v>1.7000000000000001E-2</v>
      </c>
      <c r="G236" s="17">
        <f t="shared" si="83"/>
        <v>0.10200000000000001</v>
      </c>
      <c r="H236" s="180">
        <f t="shared" si="84"/>
        <v>1000</v>
      </c>
      <c r="I236" s="180">
        <f t="shared" si="85"/>
        <v>102.00000000000001</v>
      </c>
      <c r="J236" s="22">
        <f>D236*I236</f>
        <v>102.00000000000001</v>
      </c>
      <c r="K236" s="181">
        <f t="shared" ref="K236" si="87">G235*D235+G236*D236</f>
        <v>0.21323310000000001</v>
      </c>
      <c r="L236" s="211">
        <f t="shared" ref="L236" si="88">J235+J236</f>
        <v>213.23310000000004</v>
      </c>
      <c r="M236" s="269"/>
    </row>
    <row r="237" spans="2:13" outlineLevel="1">
      <c r="B237" s="19"/>
      <c r="C237" s="19" t="s">
        <v>429</v>
      </c>
      <c r="D237" s="177">
        <v>2</v>
      </c>
      <c r="E237" s="19"/>
      <c r="F237" s="19"/>
      <c r="G237" s="19"/>
      <c r="H237" s="19"/>
      <c r="I237" s="19"/>
      <c r="J237" s="23"/>
      <c r="K237" s="29"/>
      <c r="L237" s="212"/>
      <c r="M237" s="25"/>
    </row>
    <row r="238" spans="2:13" outlineLevel="1">
      <c r="B238" s="18"/>
      <c r="C238" s="19" t="s">
        <v>423</v>
      </c>
      <c r="D238" s="177">
        <v>2</v>
      </c>
      <c r="E238" s="18"/>
      <c r="F238" s="18"/>
      <c r="G238" s="18"/>
      <c r="H238" s="18"/>
      <c r="I238" s="18"/>
      <c r="J238" s="24"/>
      <c r="K238" s="25"/>
      <c r="L238" s="99"/>
      <c r="M238" s="25"/>
    </row>
    <row r="239" spans="2:13" outlineLevel="1">
      <c r="B239" s="18"/>
      <c r="C239" s="19" t="s">
        <v>436</v>
      </c>
      <c r="D239" s="177">
        <v>2</v>
      </c>
      <c r="E239" s="18"/>
      <c r="F239" s="18"/>
      <c r="G239" s="18"/>
      <c r="H239" s="18"/>
      <c r="I239" s="18"/>
      <c r="J239" s="24"/>
      <c r="K239" s="25"/>
      <c r="L239" s="99"/>
      <c r="M239" s="25"/>
    </row>
    <row r="240" spans="2:13" outlineLevel="1">
      <c r="B240" s="18"/>
      <c r="C240" s="19"/>
      <c r="D240" s="177"/>
      <c r="E240" s="18"/>
      <c r="F240" s="18"/>
      <c r="G240" s="18"/>
      <c r="H240" s="18"/>
      <c r="I240" s="18"/>
      <c r="J240" s="24"/>
      <c r="K240" s="25"/>
      <c r="L240" s="99"/>
      <c r="M240" s="25"/>
    </row>
    <row r="241" spans="2:13" outlineLevel="1">
      <c r="B241" s="18"/>
      <c r="C241" s="19"/>
      <c r="D241" s="177"/>
      <c r="E241" s="18"/>
      <c r="F241" s="18"/>
      <c r="G241" s="18"/>
      <c r="H241" s="18"/>
      <c r="I241" s="18"/>
      <c r="J241" s="24"/>
      <c r="K241" s="25"/>
      <c r="L241" s="99"/>
      <c r="M241" s="25"/>
    </row>
    <row r="242" spans="2:13" ht="17" outlineLevel="1" thickBot="1">
      <c r="B242" s="26"/>
      <c r="C242" s="19"/>
      <c r="D242" s="177"/>
      <c r="E242" s="26"/>
      <c r="F242" s="26"/>
      <c r="G242" s="26"/>
      <c r="H242" s="26"/>
      <c r="I242" s="26"/>
      <c r="J242" s="27"/>
      <c r="K242" s="28"/>
      <c r="L242" s="213"/>
      <c r="M242" s="25"/>
    </row>
    <row r="243" spans="2:13" ht="68.25" customHeight="1">
      <c r="B243" s="240">
        <v>14</v>
      </c>
      <c r="C243" s="238"/>
      <c r="D243" s="10" t="s">
        <v>9</v>
      </c>
      <c r="E243" s="11" t="s">
        <v>5</v>
      </c>
      <c r="F243" s="10" t="s">
        <v>6</v>
      </c>
      <c r="G243" s="10" t="s">
        <v>7</v>
      </c>
      <c r="H243" s="10" t="s">
        <v>8</v>
      </c>
      <c r="I243" s="11" t="s">
        <v>19</v>
      </c>
      <c r="J243" s="20" t="s">
        <v>20</v>
      </c>
      <c r="K243" s="31" t="s">
        <v>179</v>
      </c>
      <c r="L243" s="214" t="s">
        <v>180</v>
      </c>
      <c r="M243" s="32" t="s">
        <v>275</v>
      </c>
    </row>
    <row r="244" spans="2:13">
      <c r="B244" s="241"/>
      <c r="C244" s="239"/>
      <c r="D244" s="176">
        <v>1</v>
      </c>
      <c r="E244" s="13">
        <v>0.26394000000000001</v>
      </c>
      <c r="F244" s="13">
        <f t="shared" ref="F244" si="89">IF($D$2*D244&lt;=200,0.33,0.25)</f>
        <v>0.33</v>
      </c>
      <c r="G244" s="13">
        <f t="shared" ref="G244:G245" si="90">E244*F244</f>
        <v>8.7100200000000003E-2</v>
      </c>
      <c r="H244" s="14">
        <f t="shared" ref="H244:H245" si="91">IF(($D$2*D244)&gt;40,750,IF(AND(8&lt;=($D$2*D244),($D$2*D244)&lt;=40),850,1000))</f>
        <v>1000</v>
      </c>
      <c r="I244" s="14">
        <f t="shared" ref="I244:I245" si="92">(E244*F244*H244)</f>
        <v>87.100200000000001</v>
      </c>
      <c r="J244" s="21">
        <f>D244*I244</f>
        <v>87.100200000000001</v>
      </c>
      <c r="K244" s="178"/>
      <c r="L244" s="210"/>
      <c r="M244" s="268">
        <f>IFERROR((180/($D$2*D244)),0)</f>
        <v>180</v>
      </c>
    </row>
    <row r="245" spans="2:13" ht="17" thickBot="1">
      <c r="B245" s="242"/>
      <c r="C245" s="15"/>
      <c r="D245" s="179">
        <v>1</v>
      </c>
      <c r="E245" s="16">
        <v>5</v>
      </c>
      <c r="F245" s="208">
        <f t="shared" ref="F245" si="93">IF($D$2*D244&lt;=200,0.017,0.0085)</f>
        <v>1.7000000000000001E-2</v>
      </c>
      <c r="G245" s="17">
        <f t="shared" si="90"/>
        <v>8.5000000000000006E-2</v>
      </c>
      <c r="H245" s="180">
        <f t="shared" si="91"/>
        <v>1000</v>
      </c>
      <c r="I245" s="180">
        <f t="shared" si="92"/>
        <v>85</v>
      </c>
      <c r="J245" s="22">
        <f>D245*I245</f>
        <v>85</v>
      </c>
      <c r="K245" s="181">
        <f t="shared" ref="K245" si="94">G244*D244+G245*D245</f>
        <v>0.17210020000000001</v>
      </c>
      <c r="L245" s="211">
        <f t="shared" ref="L245" si="95">J244+J245</f>
        <v>172.1002</v>
      </c>
      <c r="M245" s="269"/>
    </row>
    <row r="246" spans="2:13" outlineLevel="1">
      <c r="B246" s="19"/>
      <c r="C246" s="19" t="s">
        <v>429</v>
      </c>
      <c r="D246" s="177">
        <v>3</v>
      </c>
      <c r="E246" s="19"/>
      <c r="F246" s="19"/>
      <c r="G246" s="19"/>
      <c r="H246" s="19"/>
      <c r="I246" s="19"/>
      <c r="J246" s="23"/>
      <c r="K246" s="29"/>
      <c r="L246" s="212"/>
      <c r="M246" s="25"/>
    </row>
    <row r="247" spans="2:13" outlineLevel="1">
      <c r="B247" s="18"/>
      <c r="C247" s="19" t="s">
        <v>437</v>
      </c>
      <c r="D247" s="177">
        <v>2</v>
      </c>
      <c r="E247" s="18"/>
      <c r="F247" s="18"/>
      <c r="G247" s="18"/>
      <c r="H247" s="18"/>
      <c r="I247" s="18"/>
      <c r="J247" s="24"/>
      <c r="K247" s="25"/>
      <c r="L247" s="99"/>
      <c r="M247" s="25"/>
    </row>
    <row r="248" spans="2:13" outlineLevel="1">
      <c r="B248" s="18"/>
      <c r="C248" s="19"/>
      <c r="D248" s="177"/>
      <c r="E248" s="18"/>
      <c r="F248" s="18"/>
      <c r="G248" s="18"/>
      <c r="H248" s="18"/>
      <c r="I248" s="18"/>
      <c r="J248" s="24"/>
      <c r="K248" s="25"/>
      <c r="L248" s="99"/>
      <c r="M248" s="25"/>
    </row>
    <row r="249" spans="2:13" outlineLevel="1">
      <c r="B249" s="18"/>
      <c r="C249" s="19"/>
      <c r="D249" s="177"/>
      <c r="E249" s="18"/>
      <c r="F249" s="18"/>
      <c r="G249" s="18"/>
      <c r="H249" s="18"/>
      <c r="I249" s="18"/>
      <c r="J249" s="24"/>
      <c r="K249" s="25"/>
      <c r="L249" s="99"/>
      <c r="M249" s="25"/>
    </row>
    <row r="250" spans="2:13" outlineLevel="1">
      <c r="B250" s="18"/>
      <c r="C250" s="19"/>
      <c r="D250" s="177"/>
      <c r="E250" s="18"/>
      <c r="F250" s="18"/>
      <c r="G250" s="18"/>
      <c r="H250" s="18"/>
      <c r="I250" s="18"/>
      <c r="J250" s="24"/>
      <c r="K250" s="25"/>
      <c r="L250" s="99"/>
      <c r="M250" s="25"/>
    </row>
    <row r="251" spans="2:13" ht="17" outlineLevel="1" thickBot="1">
      <c r="B251" s="26"/>
      <c r="C251" s="19"/>
      <c r="D251" s="177"/>
      <c r="E251" s="26"/>
      <c r="F251" s="26"/>
      <c r="G251" s="26"/>
      <c r="H251" s="26"/>
      <c r="I251" s="26"/>
      <c r="J251" s="27"/>
      <c r="K251" s="28"/>
      <c r="L251" s="213"/>
      <c r="M251" s="25"/>
    </row>
    <row r="252" spans="2:13" ht="75" customHeight="1">
      <c r="B252" s="240">
        <v>15</v>
      </c>
      <c r="C252" s="238"/>
      <c r="D252" s="10" t="s">
        <v>9</v>
      </c>
      <c r="E252" s="11" t="s">
        <v>5</v>
      </c>
      <c r="F252" s="10" t="s">
        <v>6</v>
      </c>
      <c r="G252" s="10" t="s">
        <v>7</v>
      </c>
      <c r="H252" s="10" t="s">
        <v>8</v>
      </c>
      <c r="I252" s="11" t="s">
        <v>19</v>
      </c>
      <c r="J252" s="20" t="s">
        <v>20</v>
      </c>
      <c r="K252" s="31" t="s">
        <v>179</v>
      </c>
      <c r="L252" s="214" t="s">
        <v>180</v>
      </c>
      <c r="M252" s="32" t="s">
        <v>275</v>
      </c>
    </row>
    <row r="253" spans="2:13">
      <c r="B253" s="241"/>
      <c r="C253" s="239"/>
      <c r="D253" s="176">
        <v>1</v>
      </c>
      <c r="E253" s="13">
        <v>0</v>
      </c>
      <c r="F253" s="13">
        <f t="shared" ref="F253" si="96">IF($D$2*D253&lt;=200,0.33,0.25)</f>
        <v>0.33</v>
      </c>
      <c r="G253" s="13">
        <f t="shared" ref="G253:G254" si="97">E253*F253</f>
        <v>0</v>
      </c>
      <c r="H253" s="14">
        <f t="shared" ref="H253:H254" si="98">IF(($D$2*D253)&gt;40,750,IF(AND(8&lt;=($D$2*D253),($D$2*D253)&lt;=40),850,1000))</f>
        <v>1000</v>
      </c>
      <c r="I253" s="14">
        <f t="shared" ref="I253:I254" si="99">(E253*F253*H253)</f>
        <v>0</v>
      </c>
      <c r="J253" s="21">
        <f>D253*I253</f>
        <v>0</v>
      </c>
      <c r="K253" s="178"/>
      <c r="L253" s="210"/>
      <c r="M253" s="268">
        <f>IFERROR((180/($D$2*D253)),0)</f>
        <v>180</v>
      </c>
    </row>
    <row r="254" spans="2:13" ht="17" thickBot="1">
      <c r="B254" s="242"/>
      <c r="C254" s="15"/>
      <c r="D254" s="179">
        <v>1</v>
      </c>
      <c r="E254" s="16">
        <v>14</v>
      </c>
      <c r="F254" s="208">
        <f t="shared" ref="F254" si="100">IF($D$2*D253&lt;=200,0.017,0.0085)</f>
        <v>1.7000000000000001E-2</v>
      </c>
      <c r="G254" s="17">
        <f t="shared" si="97"/>
        <v>0.23800000000000002</v>
      </c>
      <c r="H254" s="180">
        <f t="shared" si="98"/>
        <v>1000</v>
      </c>
      <c r="I254" s="180">
        <f t="shared" si="99"/>
        <v>238.00000000000003</v>
      </c>
      <c r="J254" s="22">
        <f>D254*I254</f>
        <v>238.00000000000003</v>
      </c>
      <c r="K254" s="181">
        <f t="shared" ref="K254" si="101">G253*D253+G254*D254</f>
        <v>0.23800000000000002</v>
      </c>
      <c r="L254" s="211">
        <f t="shared" ref="L254" si="102">J253+J254</f>
        <v>238.00000000000003</v>
      </c>
      <c r="M254" s="269"/>
    </row>
    <row r="255" spans="2:13" outlineLevel="1">
      <c r="B255" s="19"/>
      <c r="C255" s="19" t="s">
        <v>438</v>
      </c>
      <c r="D255" s="177">
        <v>4</v>
      </c>
      <c r="E255" s="19"/>
      <c r="F255" s="19"/>
      <c r="G255" s="19"/>
      <c r="H255" s="19"/>
      <c r="I255" s="19"/>
      <c r="J255" s="23"/>
      <c r="K255" s="29"/>
      <c r="L255" s="212"/>
      <c r="M255" s="25"/>
    </row>
    <row r="256" spans="2:13" outlineLevel="1">
      <c r="B256" s="19"/>
      <c r="C256" s="19" t="s">
        <v>439</v>
      </c>
      <c r="D256" s="177">
        <v>2</v>
      </c>
      <c r="E256" s="19"/>
      <c r="F256" s="19"/>
      <c r="G256" s="19"/>
      <c r="H256" s="19"/>
      <c r="I256" s="19"/>
      <c r="J256" s="23"/>
      <c r="K256" s="29"/>
      <c r="L256" s="212"/>
      <c r="M256" s="25"/>
    </row>
    <row r="257" spans="2:13" outlineLevel="1">
      <c r="B257" s="19"/>
      <c r="C257" s="19" t="s">
        <v>440</v>
      </c>
      <c r="D257" s="177">
        <v>1</v>
      </c>
      <c r="E257" s="19"/>
      <c r="F257" s="19"/>
      <c r="G257" s="19"/>
      <c r="H257" s="19"/>
      <c r="I257" s="19"/>
      <c r="J257" s="23"/>
      <c r="K257" s="29"/>
      <c r="L257" s="212"/>
      <c r="M257" s="25"/>
    </row>
    <row r="258" spans="2:13" outlineLevel="1">
      <c r="B258" s="18"/>
      <c r="C258" s="19" t="s">
        <v>441</v>
      </c>
      <c r="D258" s="177">
        <v>2</v>
      </c>
      <c r="E258" s="18"/>
      <c r="F258" s="18"/>
      <c r="G258" s="18"/>
      <c r="H258" s="18"/>
      <c r="I258" s="18"/>
      <c r="J258" s="24"/>
      <c r="K258" s="25"/>
      <c r="L258" s="99"/>
      <c r="M258" s="25"/>
    </row>
    <row r="259" spans="2:13" outlineLevel="1">
      <c r="B259" s="18"/>
      <c r="C259" s="19" t="s">
        <v>442</v>
      </c>
      <c r="D259" s="177">
        <v>2</v>
      </c>
      <c r="E259" s="18"/>
      <c r="F259" s="18"/>
      <c r="G259" s="18"/>
      <c r="H259" s="18"/>
      <c r="I259" s="18"/>
      <c r="J259" s="24"/>
      <c r="K259" s="25"/>
      <c r="L259" s="99"/>
      <c r="M259" s="25"/>
    </row>
    <row r="260" spans="2:13" outlineLevel="1">
      <c r="B260" s="18"/>
      <c r="C260" s="19" t="s">
        <v>443</v>
      </c>
      <c r="D260" s="177">
        <v>1</v>
      </c>
      <c r="E260" s="18"/>
      <c r="F260" s="18"/>
      <c r="G260" s="18"/>
      <c r="H260" s="18"/>
      <c r="I260" s="18"/>
      <c r="J260" s="24"/>
      <c r="K260" s="25"/>
      <c r="L260" s="99"/>
      <c r="M260" s="25"/>
    </row>
    <row r="261" spans="2:13" outlineLevel="1">
      <c r="B261" s="18"/>
      <c r="C261" s="19" t="s">
        <v>444</v>
      </c>
      <c r="D261" s="177">
        <v>1</v>
      </c>
      <c r="E261" s="18"/>
      <c r="F261" s="18"/>
      <c r="G261" s="18"/>
      <c r="H261" s="18"/>
      <c r="I261" s="18"/>
      <c r="J261" s="24"/>
      <c r="K261" s="25"/>
      <c r="L261" s="99"/>
      <c r="M261" s="25"/>
    </row>
    <row r="262" spans="2:13" ht="17" outlineLevel="1" thickBot="1">
      <c r="B262" s="26"/>
      <c r="C262" s="19" t="s">
        <v>445</v>
      </c>
      <c r="D262" s="177">
        <v>1</v>
      </c>
      <c r="E262" s="26"/>
      <c r="F262" s="26"/>
      <c r="G262" s="26"/>
      <c r="H262" s="26"/>
      <c r="I262" s="26"/>
      <c r="J262" s="27"/>
      <c r="K262" s="28"/>
      <c r="L262" s="213"/>
      <c r="M262" s="25"/>
    </row>
    <row r="263" spans="2:13" ht="84">
      <c r="B263" s="240">
        <v>16</v>
      </c>
      <c r="C263" s="238"/>
      <c r="D263" s="10" t="s">
        <v>9</v>
      </c>
      <c r="E263" s="11" t="s">
        <v>5</v>
      </c>
      <c r="F263" s="10" t="s">
        <v>6</v>
      </c>
      <c r="G263" s="10" t="s">
        <v>7</v>
      </c>
      <c r="H263" s="10" t="s">
        <v>8</v>
      </c>
      <c r="I263" s="11" t="s">
        <v>19</v>
      </c>
      <c r="J263" s="20" t="s">
        <v>20</v>
      </c>
      <c r="K263" s="31" t="s">
        <v>179</v>
      </c>
      <c r="L263" s="214" t="s">
        <v>180</v>
      </c>
      <c r="M263" s="32" t="s">
        <v>275</v>
      </c>
    </row>
    <row r="264" spans="2:13">
      <c r="B264" s="241"/>
      <c r="C264" s="239"/>
      <c r="D264" s="176">
        <v>0</v>
      </c>
      <c r="E264" s="13">
        <v>0</v>
      </c>
      <c r="F264" s="13">
        <f t="shared" ref="F264" si="103">IF($D$2*D264&lt;=200,0.33,0.25)</f>
        <v>0.33</v>
      </c>
      <c r="G264" s="13">
        <f t="shared" ref="G264:G265" si="104">E264*F264</f>
        <v>0</v>
      </c>
      <c r="H264" s="14">
        <f t="shared" ref="H264:H265" si="105">IF(($D$2*D264)&gt;40,750,IF(AND(8&lt;=($D$2*D264),($D$2*D264)&lt;=40),850,1000))</f>
        <v>1000</v>
      </c>
      <c r="I264" s="14">
        <f t="shared" ref="I264:I265" si="106">(E264*F264*H264)</f>
        <v>0</v>
      </c>
      <c r="J264" s="21">
        <f>D264*I264</f>
        <v>0</v>
      </c>
      <c r="K264" s="178"/>
      <c r="L264" s="210"/>
      <c r="M264" s="268">
        <f>IFERROR((180/($D$2*D264)),0)</f>
        <v>0</v>
      </c>
    </row>
    <row r="265" spans="2:13" ht="17" thickBot="1">
      <c r="B265" s="242"/>
      <c r="C265" s="15"/>
      <c r="D265" s="179">
        <v>0</v>
      </c>
      <c r="E265" s="16"/>
      <c r="F265" s="208">
        <f t="shared" ref="F265" si="107">IF($D$2*D264&lt;=200,0.017,0.0085)</f>
        <v>1.7000000000000001E-2</v>
      </c>
      <c r="G265" s="17">
        <f t="shared" si="104"/>
        <v>0</v>
      </c>
      <c r="H265" s="180">
        <f t="shared" si="105"/>
        <v>1000</v>
      </c>
      <c r="I265" s="180">
        <f t="shared" si="106"/>
        <v>0</v>
      </c>
      <c r="J265" s="22">
        <f>D265*I265</f>
        <v>0</v>
      </c>
      <c r="K265" s="181">
        <f t="shared" ref="K265" si="108">G264*D264+G265*D265</f>
        <v>0</v>
      </c>
      <c r="L265" s="211">
        <f t="shared" ref="L265" si="109">J264+J265</f>
        <v>0</v>
      </c>
      <c r="M265" s="269"/>
    </row>
    <row r="266" spans="2:13" outlineLevel="1">
      <c r="B266" s="19"/>
      <c r="C266" s="19"/>
      <c r="D266" s="177"/>
      <c r="E266" s="19"/>
      <c r="F266" s="19"/>
      <c r="G266" s="19"/>
      <c r="H266" s="19"/>
      <c r="I266" s="19"/>
      <c r="J266" s="23"/>
      <c r="K266" s="29"/>
      <c r="L266" s="212"/>
      <c r="M266" s="25"/>
    </row>
    <row r="267" spans="2:13" outlineLevel="1">
      <c r="B267" s="18"/>
      <c r="C267" s="19"/>
      <c r="D267" s="177"/>
      <c r="E267" s="18"/>
      <c r="F267" s="18"/>
      <c r="G267" s="18"/>
      <c r="H267" s="18"/>
      <c r="I267" s="18"/>
      <c r="J267" s="24"/>
      <c r="K267" s="25"/>
      <c r="L267" s="99"/>
      <c r="M267" s="25"/>
    </row>
    <row r="268" spans="2:13" outlineLevel="1">
      <c r="B268" s="18"/>
      <c r="C268" s="19"/>
      <c r="D268" s="177"/>
      <c r="E268" s="18"/>
      <c r="F268" s="18"/>
      <c r="G268" s="18"/>
      <c r="H268" s="18"/>
      <c r="I268" s="18"/>
      <c r="J268" s="24"/>
      <c r="K268" s="25"/>
      <c r="L268" s="99"/>
      <c r="M268" s="25"/>
    </row>
    <row r="269" spans="2:13" outlineLevel="1">
      <c r="B269" s="18"/>
      <c r="C269" s="19"/>
      <c r="D269" s="177"/>
      <c r="E269" s="18"/>
      <c r="F269" s="18"/>
      <c r="G269" s="18"/>
      <c r="H269" s="18"/>
      <c r="I269" s="18"/>
      <c r="J269" s="24"/>
      <c r="K269" s="25"/>
      <c r="L269" s="99"/>
      <c r="M269" s="25"/>
    </row>
    <row r="270" spans="2:13" outlineLevel="1">
      <c r="B270" s="18"/>
      <c r="C270" s="19"/>
      <c r="D270" s="177"/>
      <c r="E270" s="18"/>
      <c r="F270" s="18"/>
      <c r="G270" s="18"/>
      <c r="H270" s="18"/>
      <c r="I270" s="18"/>
      <c r="J270" s="24"/>
      <c r="K270" s="25"/>
      <c r="L270" s="99"/>
      <c r="M270" s="25"/>
    </row>
    <row r="271" spans="2:13" ht="17" outlineLevel="1" thickBot="1">
      <c r="B271" s="26"/>
      <c r="C271" s="19"/>
      <c r="D271" s="177"/>
      <c r="E271" s="26"/>
      <c r="F271" s="26"/>
      <c r="G271" s="26"/>
      <c r="H271" s="26"/>
      <c r="I271" s="26"/>
      <c r="J271" s="27"/>
      <c r="K271" s="28"/>
      <c r="L271" s="213"/>
      <c r="M271" s="25"/>
    </row>
    <row r="272" spans="2:13" ht="84">
      <c r="B272" s="240">
        <v>17</v>
      </c>
      <c r="C272" s="238"/>
      <c r="D272" s="10" t="s">
        <v>9</v>
      </c>
      <c r="E272" s="11" t="s">
        <v>5</v>
      </c>
      <c r="F272" s="10" t="s">
        <v>6</v>
      </c>
      <c r="G272" s="10" t="s">
        <v>7</v>
      </c>
      <c r="H272" s="10" t="s">
        <v>8</v>
      </c>
      <c r="I272" s="11" t="s">
        <v>19</v>
      </c>
      <c r="J272" s="20" t="s">
        <v>20</v>
      </c>
      <c r="K272" s="31" t="s">
        <v>179</v>
      </c>
      <c r="L272" s="214" t="s">
        <v>180</v>
      </c>
      <c r="M272" s="32" t="s">
        <v>275</v>
      </c>
    </row>
    <row r="273" spans="2:13">
      <c r="B273" s="241"/>
      <c r="C273" s="239"/>
      <c r="D273" s="176">
        <v>0</v>
      </c>
      <c r="E273" s="13">
        <v>0</v>
      </c>
      <c r="F273" s="13">
        <f t="shared" ref="F273" si="110">IF($D$2*D273&lt;=200,0.33,0.25)</f>
        <v>0.33</v>
      </c>
      <c r="G273" s="13">
        <f t="shared" ref="G273:G274" si="111">E273*F273</f>
        <v>0</v>
      </c>
      <c r="H273" s="14">
        <f t="shared" ref="H273:H274" si="112">IF(($D$2*D273)&gt;40,750,IF(AND(8&lt;=($D$2*D273),($D$2*D273)&lt;=40),850,1000))</f>
        <v>1000</v>
      </c>
      <c r="I273" s="14">
        <f t="shared" ref="I273:I274" si="113">(E273*F273*H273)</f>
        <v>0</v>
      </c>
      <c r="J273" s="21">
        <f>D273*I273</f>
        <v>0</v>
      </c>
      <c r="K273" s="178"/>
      <c r="L273" s="210"/>
      <c r="M273" s="268">
        <f>IFERROR((180/($D$2*D273)),0)</f>
        <v>0</v>
      </c>
    </row>
    <row r="274" spans="2:13" ht="17" thickBot="1">
      <c r="B274" s="242"/>
      <c r="C274" s="15"/>
      <c r="D274" s="179">
        <v>0</v>
      </c>
      <c r="E274" s="16"/>
      <c r="F274" s="208">
        <f t="shared" ref="F274" si="114">IF($D$2*D273&lt;=200,0.017,0.0085)</f>
        <v>1.7000000000000001E-2</v>
      </c>
      <c r="G274" s="17">
        <f t="shared" si="111"/>
        <v>0</v>
      </c>
      <c r="H274" s="180">
        <f t="shared" si="112"/>
        <v>1000</v>
      </c>
      <c r="I274" s="180">
        <f t="shared" si="113"/>
        <v>0</v>
      </c>
      <c r="J274" s="22">
        <f>D274*I274</f>
        <v>0</v>
      </c>
      <c r="K274" s="181">
        <f t="shared" ref="K274" si="115">G273*D273+G274*D274</f>
        <v>0</v>
      </c>
      <c r="L274" s="211">
        <f t="shared" ref="L274" si="116">J273+J274</f>
        <v>0</v>
      </c>
      <c r="M274" s="269"/>
    </row>
    <row r="275" spans="2:13" outlineLevel="1">
      <c r="B275" s="19"/>
      <c r="C275" s="19"/>
      <c r="D275" s="177"/>
      <c r="E275" s="19"/>
      <c r="F275" s="19"/>
      <c r="G275" s="19"/>
      <c r="H275" s="19"/>
      <c r="I275" s="19"/>
      <c r="J275" s="23"/>
      <c r="K275" s="29"/>
      <c r="L275" s="212"/>
      <c r="M275" s="25"/>
    </row>
    <row r="276" spans="2:13" outlineLevel="1">
      <c r="B276" s="18"/>
      <c r="C276" s="19"/>
      <c r="D276" s="177"/>
      <c r="E276" s="18"/>
      <c r="F276" s="18"/>
      <c r="G276" s="18"/>
      <c r="H276" s="18"/>
      <c r="I276" s="18"/>
      <c r="J276" s="24"/>
      <c r="K276" s="25"/>
      <c r="L276" s="99"/>
      <c r="M276" s="25"/>
    </row>
    <row r="277" spans="2:13" outlineLevel="1">
      <c r="B277" s="18"/>
      <c r="C277" s="19"/>
      <c r="D277" s="177"/>
      <c r="E277" s="18"/>
      <c r="F277" s="18"/>
      <c r="G277" s="18"/>
      <c r="H277" s="18"/>
      <c r="I277" s="18"/>
      <c r="J277" s="24"/>
      <c r="K277" s="25"/>
      <c r="L277" s="99"/>
      <c r="M277" s="25"/>
    </row>
    <row r="278" spans="2:13" outlineLevel="1">
      <c r="B278" s="18"/>
      <c r="C278" s="19"/>
      <c r="D278" s="177"/>
      <c r="E278" s="18"/>
      <c r="F278" s="18"/>
      <c r="G278" s="18"/>
      <c r="H278" s="18"/>
      <c r="I278" s="18"/>
      <c r="J278" s="24"/>
      <c r="K278" s="25"/>
      <c r="L278" s="99"/>
      <c r="M278" s="25"/>
    </row>
    <row r="279" spans="2:13" outlineLevel="1">
      <c r="B279" s="18"/>
      <c r="C279" s="19"/>
      <c r="D279" s="177"/>
      <c r="E279" s="18"/>
      <c r="F279" s="18"/>
      <c r="G279" s="18"/>
      <c r="H279" s="18"/>
      <c r="I279" s="18"/>
      <c r="J279" s="24"/>
      <c r="K279" s="25"/>
      <c r="L279" s="99"/>
      <c r="M279" s="25"/>
    </row>
    <row r="280" spans="2:13" ht="17" outlineLevel="1" thickBot="1">
      <c r="B280" s="26"/>
      <c r="C280" s="19"/>
      <c r="D280" s="177"/>
      <c r="E280" s="26"/>
      <c r="F280" s="26"/>
      <c r="G280" s="26"/>
      <c r="H280" s="26"/>
      <c r="I280" s="26"/>
      <c r="J280" s="27"/>
      <c r="K280" s="28"/>
      <c r="L280" s="213"/>
      <c r="M280" s="25"/>
    </row>
    <row r="281" spans="2:13" ht="84">
      <c r="B281" s="240">
        <v>18</v>
      </c>
      <c r="C281" s="238"/>
      <c r="D281" s="10" t="s">
        <v>9</v>
      </c>
      <c r="E281" s="11" t="s">
        <v>5</v>
      </c>
      <c r="F281" s="10" t="s">
        <v>6</v>
      </c>
      <c r="G281" s="10" t="s">
        <v>7</v>
      </c>
      <c r="H281" s="10" t="s">
        <v>8</v>
      </c>
      <c r="I281" s="11" t="s">
        <v>19</v>
      </c>
      <c r="J281" s="20" t="s">
        <v>20</v>
      </c>
      <c r="K281" s="31" t="s">
        <v>179</v>
      </c>
      <c r="L281" s="214" t="s">
        <v>180</v>
      </c>
      <c r="M281" s="32" t="s">
        <v>275</v>
      </c>
    </row>
    <row r="282" spans="2:13">
      <c r="B282" s="241"/>
      <c r="C282" s="239"/>
      <c r="D282" s="176">
        <v>0</v>
      </c>
      <c r="E282" s="13">
        <v>0</v>
      </c>
      <c r="F282" s="13">
        <f t="shared" ref="F282" si="117">IF($D$2*D282&lt;=200,0.33,0.25)</f>
        <v>0.33</v>
      </c>
      <c r="G282" s="13">
        <f t="shared" ref="G282:G283" si="118">E282*F282</f>
        <v>0</v>
      </c>
      <c r="H282" s="14">
        <f t="shared" ref="H282:H283" si="119">IF(($D$2*D282)&gt;40,750,IF(AND(8&lt;=($D$2*D282),($D$2*D282)&lt;=40),850,1000))</f>
        <v>1000</v>
      </c>
      <c r="I282" s="14">
        <f t="shared" ref="I282:I283" si="120">(E282*F282*H282)</f>
        <v>0</v>
      </c>
      <c r="J282" s="21">
        <f>D282*I282</f>
        <v>0</v>
      </c>
      <c r="K282" s="178"/>
      <c r="L282" s="210"/>
      <c r="M282" s="268">
        <f>IFERROR((180/($D$2*D282)),0)</f>
        <v>0</v>
      </c>
    </row>
    <row r="283" spans="2:13" ht="17" thickBot="1">
      <c r="B283" s="242"/>
      <c r="C283" s="15"/>
      <c r="D283" s="179">
        <v>0</v>
      </c>
      <c r="E283" s="16"/>
      <c r="F283" s="208">
        <f t="shared" ref="F283" si="121">IF($D$2*D282&lt;=200,0.017,0.0085)</f>
        <v>1.7000000000000001E-2</v>
      </c>
      <c r="G283" s="17">
        <f t="shared" si="118"/>
        <v>0</v>
      </c>
      <c r="H283" s="180">
        <f t="shared" si="119"/>
        <v>1000</v>
      </c>
      <c r="I283" s="180">
        <f t="shared" si="120"/>
        <v>0</v>
      </c>
      <c r="J283" s="22">
        <f>D283*I283</f>
        <v>0</v>
      </c>
      <c r="K283" s="181">
        <f t="shared" ref="K283" si="122">G282*D282+G283*D283</f>
        <v>0</v>
      </c>
      <c r="L283" s="211">
        <f t="shared" ref="L283" si="123">J282+J283</f>
        <v>0</v>
      </c>
      <c r="M283" s="269"/>
    </row>
    <row r="284" spans="2:13" outlineLevel="1">
      <c r="B284" s="19"/>
      <c r="C284" s="19"/>
      <c r="D284" s="177"/>
      <c r="E284" s="19"/>
      <c r="F284" s="19"/>
      <c r="G284" s="19"/>
      <c r="H284" s="19"/>
      <c r="I284" s="19"/>
      <c r="J284" s="23"/>
      <c r="K284" s="29"/>
      <c r="L284" s="212"/>
      <c r="M284" s="25"/>
    </row>
    <row r="285" spans="2:13" outlineLevel="1">
      <c r="B285" s="18"/>
      <c r="C285" s="19"/>
      <c r="D285" s="177"/>
      <c r="E285" s="18"/>
      <c r="F285" s="18"/>
      <c r="G285" s="18"/>
      <c r="H285" s="18"/>
      <c r="I285" s="18"/>
      <c r="J285" s="24"/>
      <c r="K285" s="25"/>
      <c r="L285" s="99"/>
      <c r="M285" s="25"/>
    </row>
    <row r="286" spans="2:13" outlineLevel="1">
      <c r="B286" s="18"/>
      <c r="C286" s="19"/>
      <c r="D286" s="177"/>
      <c r="E286" s="18"/>
      <c r="F286" s="18"/>
      <c r="G286" s="18"/>
      <c r="H286" s="18"/>
      <c r="I286" s="18"/>
      <c r="J286" s="24"/>
      <c r="K286" s="25"/>
      <c r="L286" s="99"/>
      <c r="M286" s="25"/>
    </row>
    <row r="287" spans="2:13" outlineLevel="1">
      <c r="B287" s="18"/>
      <c r="C287" s="19"/>
      <c r="D287" s="177"/>
      <c r="E287" s="18"/>
      <c r="F287" s="18"/>
      <c r="G287" s="18"/>
      <c r="H287" s="18"/>
      <c r="I287" s="18"/>
      <c r="J287" s="24"/>
      <c r="K287" s="25"/>
      <c r="L287" s="99"/>
      <c r="M287" s="25"/>
    </row>
    <row r="288" spans="2:13" outlineLevel="1">
      <c r="B288" s="18"/>
      <c r="C288" s="19"/>
      <c r="D288" s="177"/>
      <c r="E288" s="18"/>
      <c r="F288" s="18"/>
      <c r="G288" s="18"/>
      <c r="H288" s="18"/>
      <c r="I288" s="18"/>
      <c r="J288" s="24"/>
      <c r="K288" s="25"/>
      <c r="L288" s="99"/>
      <c r="M288" s="25"/>
    </row>
    <row r="289" spans="2:13" ht="17" outlineLevel="1" thickBot="1">
      <c r="B289" s="26"/>
      <c r="C289" s="19"/>
      <c r="D289" s="177"/>
      <c r="E289" s="26"/>
      <c r="F289" s="26"/>
      <c r="G289" s="26"/>
      <c r="H289" s="26"/>
      <c r="I289" s="26"/>
      <c r="J289" s="27"/>
      <c r="K289" s="28"/>
      <c r="L289" s="213"/>
      <c r="M289" s="25"/>
    </row>
    <row r="290" spans="2:13" ht="84">
      <c r="B290" s="240">
        <v>19</v>
      </c>
      <c r="C290" s="238"/>
      <c r="D290" s="10" t="s">
        <v>9</v>
      </c>
      <c r="E290" s="11" t="s">
        <v>5</v>
      </c>
      <c r="F290" s="10" t="s">
        <v>6</v>
      </c>
      <c r="G290" s="10" t="s">
        <v>7</v>
      </c>
      <c r="H290" s="10" t="s">
        <v>8</v>
      </c>
      <c r="I290" s="11" t="s">
        <v>19</v>
      </c>
      <c r="J290" s="20" t="s">
        <v>20</v>
      </c>
      <c r="K290" s="31" t="s">
        <v>179</v>
      </c>
      <c r="L290" s="214" t="s">
        <v>180</v>
      </c>
      <c r="M290" s="32" t="s">
        <v>275</v>
      </c>
    </row>
    <row r="291" spans="2:13">
      <c r="B291" s="241"/>
      <c r="C291" s="239"/>
      <c r="D291" s="176">
        <v>0</v>
      </c>
      <c r="E291" s="13">
        <v>0</v>
      </c>
      <c r="F291" s="13">
        <f t="shared" ref="F291" si="124">IF($D$2*D291&lt;=200,0.33,0.25)</f>
        <v>0.33</v>
      </c>
      <c r="G291" s="13">
        <f t="shared" ref="G291:G292" si="125">E291*F291</f>
        <v>0</v>
      </c>
      <c r="H291" s="14">
        <f t="shared" ref="H291:H292" si="126">IF(($D$2*D291)&gt;40,750,IF(AND(8&lt;=($D$2*D291),($D$2*D291)&lt;=40),850,1000))</f>
        <v>1000</v>
      </c>
      <c r="I291" s="14">
        <f t="shared" ref="I291:I292" si="127">(E291*F291*H291)</f>
        <v>0</v>
      </c>
      <c r="J291" s="21">
        <f>D291*I291</f>
        <v>0</v>
      </c>
      <c r="K291" s="178"/>
      <c r="L291" s="210"/>
      <c r="M291" s="268">
        <f>IFERROR((180/($D$2*D291)),0)</f>
        <v>0</v>
      </c>
    </row>
    <row r="292" spans="2:13" ht="17" thickBot="1">
      <c r="B292" s="242"/>
      <c r="C292" s="15"/>
      <c r="D292" s="179">
        <v>0</v>
      </c>
      <c r="E292" s="16"/>
      <c r="F292" s="208">
        <f t="shared" ref="F292" si="128">IF($D$2*D291&lt;=200,0.017,0.0085)</f>
        <v>1.7000000000000001E-2</v>
      </c>
      <c r="G292" s="17">
        <f t="shared" si="125"/>
        <v>0</v>
      </c>
      <c r="H292" s="180">
        <f t="shared" si="126"/>
        <v>1000</v>
      </c>
      <c r="I292" s="180">
        <f t="shared" si="127"/>
        <v>0</v>
      </c>
      <c r="J292" s="22">
        <f>D292*I292</f>
        <v>0</v>
      </c>
      <c r="K292" s="181">
        <f t="shared" ref="K292" si="129">G291*D291+G292*D292</f>
        <v>0</v>
      </c>
      <c r="L292" s="211">
        <f t="shared" ref="L292" si="130">J291+J292</f>
        <v>0</v>
      </c>
      <c r="M292" s="269"/>
    </row>
    <row r="293" spans="2:13" outlineLevel="1">
      <c r="B293" s="19"/>
      <c r="C293" s="19"/>
      <c r="D293" s="177"/>
      <c r="E293" s="19"/>
      <c r="F293" s="19"/>
      <c r="G293" s="19"/>
      <c r="H293" s="19"/>
      <c r="I293" s="19"/>
      <c r="J293" s="23"/>
      <c r="K293" s="29"/>
      <c r="L293" s="212"/>
      <c r="M293" s="25"/>
    </row>
    <row r="294" spans="2:13" outlineLevel="1">
      <c r="B294" s="18"/>
      <c r="C294" s="19"/>
      <c r="D294" s="177"/>
      <c r="E294" s="18"/>
      <c r="F294" s="18"/>
      <c r="G294" s="18"/>
      <c r="H294" s="18"/>
      <c r="I294" s="18"/>
      <c r="J294" s="24"/>
      <c r="K294" s="25"/>
      <c r="L294" s="99"/>
      <c r="M294" s="25"/>
    </row>
    <row r="295" spans="2:13" outlineLevel="1">
      <c r="B295" s="18"/>
      <c r="C295" s="19"/>
      <c r="D295" s="177"/>
      <c r="E295" s="18"/>
      <c r="F295" s="18"/>
      <c r="G295" s="18"/>
      <c r="H295" s="18"/>
      <c r="I295" s="18"/>
      <c r="J295" s="24"/>
      <c r="K295" s="25"/>
      <c r="L295" s="99"/>
      <c r="M295" s="25"/>
    </row>
    <row r="296" spans="2:13" outlineLevel="1">
      <c r="B296" s="18"/>
      <c r="C296" s="19"/>
      <c r="D296" s="177"/>
      <c r="E296" s="18"/>
      <c r="F296" s="18"/>
      <c r="G296" s="18"/>
      <c r="H296" s="18"/>
      <c r="I296" s="18"/>
      <c r="J296" s="24"/>
      <c r="K296" s="25"/>
      <c r="L296" s="99"/>
      <c r="M296" s="25"/>
    </row>
    <row r="297" spans="2:13" outlineLevel="1">
      <c r="B297" s="18"/>
      <c r="C297" s="19"/>
      <c r="D297" s="177"/>
      <c r="E297" s="18"/>
      <c r="F297" s="18"/>
      <c r="G297" s="18"/>
      <c r="H297" s="18"/>
      <c r="I297" s="18"/>
      <c r="J297" s="24"/>
      <c r="K297" s="25"/>
      <c r="L297" s="99"/>
      <c r="M297" s="25"/>
    </row>
    <row r="298" spans="2:13" ht="17" outlineLevel="1" thickBot="1">
      <c r="B298" s="26"/>
      <c r="C298" s="19"/>
      <c r="D298" s="177"/>
      <c r="E298" s="26"/>
      <c r="F298" s="26"/>
      <c r="G298" s="26"/>
      <c r="H298" s="26"/>
      <c r="I298" s="26"/>
      <c r="J298" s="27"/>
      <c r="K298" s="28"/>
      <c r="L298" s="213"/>
      <c r="M298" s="25"/>
    </row>
    <row r="299" spans="2:13" ht="84">
      <c r="B299" s="240">
        <v>20</v>
      </c>
      <c r="C299" s="238"/>
      <c r="D299" s="10" t="s">
        <v>9</v>
      </c>
      <c r="E299" s="11" t="s">
        <v>5</v>
      </c>
      <c r="F299" s="10" t="s">
        <v>6</v>
      </c>
      <c r="G299" s="10" t="s">
        <v>7</v>
      </c>
      <c r="H299" s="10" t="s">
        <v>8</v>
      </c>
      <c r="I299" s="11" t="s">
        <v>19</v>
      </c>
      <c r="J299" s="20" t="s">
        <v>20</v>
      </c>
      <c r="K299" s="31" t="s">
        <v>179</v>
      </c>
      <c r="L299" s="214" t="s">
        <v>180</v>
      </c>
      <c r="M299" s="32" t="s">
        <v>275</v>
      </c>
    </row>
    <row r="300" spans="2:13">
      <c r="B300" s="241"/>
      <c r="C300" s="239"/>
      <c r="D300" s="176">
        <v>0</v>
      </c>
      <c r="E300" s="13">
        <v>0</v>
      </c>
      <c r="F300" s="13">
        <f t="shared" ref="F300" si="131">IF($D$2*D300&lt;=200,0.33,0.25)</f>
        <v>0.33</v>
      </c>
      <c r="G300" s="13">
        <f t="shared" ref="G300:G301" si="132">E300*F300</f>
        <v>0</v>
      </c>
      <c r="H300" s="14">
        <f t="shared" ref="H300:H301" si="133">IF(($D$2*D300)&gt;40,750,IF(AND(8&lt;=($D$2*D300),($D$2*D300)&lt;=40),850,1000))</f>
        <v>1000</v>
      </c>
      <c r="I300" s="14">
        <f t="shared" ref="I300:I301" si="134">(E300*F300*H300)</f>
        <v>0</v>
      </c>
      <c r="J300" s="21">
        <f>D300*I300</f>
        <v>0</v>
      </c>
      <c r="K300" s="178"/>
      <c r="L300" s="210"/>
      <c r="M300" s="268">
        <f>IFERROR((180/($D$2*D300)),0)</f>
        <v>0</v>
      </c>
    </row>
    <row r="301" spans="2:13" ht="17" thickBot="1">
      <c r="B301" s="242"/>
      <c r="C301" s="15"/>
      <c r="D301" s="179">
        <v>0</v>
      </c>
      <c r="E301" s="16"/>
      <c r="F301" s="208">
        <f t="shared" ref="F301" si="135">IF($D$2*D300&lt;=200,0.017,0.0085)</f>
        <v>1.7000000000000001E-2</v>
      </c>
      <c r="G301" s="17">
        <f t="shared" si="132"/>
        <v>0</v>
      </c>
      <c r="H301" s="180">
        <f t="shared" si="133"/>
        <v>1000</v>
      </c>
      <c r="I301" s="180">
        <f t="shared" si="134"/>
        <v>0</v>
      </c>
      <c r="J301" s="22">
        <f>D301*I301</f>
        <v>0</v>
      </c>
      <c r="K301" s="181">
        <f t="shared" ref="K301" si="136">G300*D300+G301*D301</f>
        <v>0</v>
      </c>
      <c r="L301" s="211">
        <f t="shared" ref="L301" si="137">J300+J301</f>
        <v>0</v>
      </c>
      <c r="M301" s="269"/>
    </row>
    <row r="302" spans="2:13" outlineLevel="1">
      <c r="B302" s="19"/>
      <c r="C302" s="19"/>
      <c r="D302" s="177"/>
      <c r="E302" s="19"/>
      <c r="F302" s="19"/>
      <c r="G302" s="19"/>
      <c r="H302" s="19"/>
      <c r="I302" s="19"/>
      <c r="J302" s="23"/>
      <c r="K302" s="29"/>
      <c r="L302" s="212"/>
      <c r="M302" s="25"/>
    </row>
    <row r="303" spans="2:13" outlineLevel="1">
      <c r="B303" s="18"/>
      <c r="C303" s="19"/>
      <c r="D303" s="177"/>
      <c r="E303" s="18"/>
      <c r="F303" s="18"/>
      <c r="G303" s="18"/>
      <c r="H303" s="18"/>
      <c r="I303" s="18"/>
      <c r="J303" s="24"/>
      <c r="K303" s="25"/>
      <c r="L303" s="99"/>
      <c r="M303" s="25"/>
    </row>
    <row r="304" spans="2:13" outlineLevel="1">
      <c r="B304" s="18"/>
      <c r="C304" s="19"/>
      <c r="D304" s="177"/>
      <c r="E304" s="18"/>
      <c r="F304" s="18"/>
      <c r="G304" s="18"/>
      <c r="H304" s="18"/>
      <c r="I304" s="18"/>
      <c r="J304" s="24"/>
      <c r="K304" s="25"/>
      <c r="L304" s="99"/>
      <c r="M304" s="25"/>
    </row>
    <row r="305" spans="2:13" outlineLevel="1">
      <c r="B305" s="18"/>
      <c r="C305" s="19"/>
      <c r="D305" s="177"/>
      <c r="E305" s="18"/>
      <c r="F305" s="18"/>
      <c r="G305" s="18"/>
      <c r="H305" s="18"/>
      <c r="I305" s="18"/>
      <c r="J305" s="24"/>
      <c r="K305" s="25"/>
      <c r="L305" s="99"/>
      <c r="M305" s="25"/>
    </row>
    <row r="306" spans="2:13" outlineLevel="1">
      <c r="B306" s="18"/>
      <c r="C306" s="19"/>
      <c r="D306" s="177"/>
      <c r="E306" s="18"/>
      <c r="F306" s="18"/>
      <c r="G306" s="18"/>
      <c r="H306" s="18"/>
      <c r="I306" s="18"/>
      <c r="J306" s="24"/>
      <c r="K306" s="25"/>
      <c r="L306" s="99"/>
      <c r="M306" s="25"/>
    </row>
    <row r="307" spans="2:13" ht="17" outlineLevel="1" thickBot="1">
      <c r="B307" s="26"/>
      <c r="C307" s="19"/>
      <c r="D307" s="177"/>
      <c r="E307" s="26"/>
      <c r="F307" s="26"/>
      <c r="G307" s="26"/>
      <c r="H307" s="26"/>
      <c r="I307" s="26"/>
      <c r="J307" s="27"/>
      <c r="K307" s="28"/>
      <c r="L307" s="213"/>
      <c r="M307" s="25"/>
    </row>
    <row r="308" spans="2:13" ht="84">
      <c r="B308" s="240">
        <v>21</v>
      </c>
      <c r="C308" s="238"/>
      <c r="D308" s="10" t="s">
        <v>9</v>
      </c>
      <c r="E308" s="11" t="s">
        <v>5</v>
      </c>
      <c r="F308" s="10" t="s">
        <v>6</v>
      </c>
      <c r="G308" s="10" t="s">
        <v>7</v>
      </c>
      <c r="H308" s="10" t="s">
        <v>8</v>
      </c>
      <c r="I308" s="11" t="s">
        <v>19</v>
      </c>
      <c r="J308" s="20" t="s">
        <v>20</v>
      </c>
      <c r="K308" s="31" t="s">
        <v>179</v>
      </c>
      <c r="L308" s="214" t="s">
        <v>180</v>
      </c>
      <c r="M308" s="32" t="s">
        <v>275</v>
      </c>
    </row>
    <row r="309" spans="2:13">
      <c r="B309" s="241"/>
      <c r="C309" s="239"/>
      <c r="D309" s="176">
        <v>0</v>
      </c>
      <c r="E309" s="13">
        <v>0</v>
      </c>
      <c r="F309" s="13">
        <f t="shared" ref="F309" si="138">IF($D$2*D309&lt;=200,0.33,0.25)</f>
        <v>0.33</v>
      </c>
      <c r="G309" s="13">
        <f t="shared" ref="G309:G310" si="139">E309*F309</f>
        <v>0</v>
      </c>
      <c r="H309" s="14">
        <f t="shared" ref="H309:H310" si="140">IF(($D$2*D309)&gt;40,750,IF(AND(8&lt;=($D$2*D309),($D$2*D309)&lt;=40),850,1000))</f>
        <v>1000</v>
      </c>
      <c r="I309" s="14">
        <f t="shared" ref="I309:I310" si="141">(E309*F309*H309)</f>
        <v>0</v>
      </c>
      <c r="J309" s="21">
        <f>D309*I309</f>
        <v>0</v>
      </c>
      <c r="K309" s="178"/>
      <c r="L309" s="210"/>
      <c r="M309" s="268">
        <f>IFERROR((180/($D$2*D309)),0)</f>
        <v>0</v>
      </c>
    </row>
    <row r="310" spans="2:13" ht="17" thickBot="1">
      <c r="B310" s="242"/>
      <c r="C310" s="15"/>
      <c r="D310" s="179">
        <v>0</v>
      </c>
      <c r="E310" s="16"/>
      <c r="F310" s="208">
        <f t="shared" ref="F310" si="142">IF($D$2*D309&lt;=200,0.017,0.0085)</f>
        <v>1.7000000000000001E-2</v>
      </c>
      <c r="G310" s="17">
        <f t="shared" si="139"/>
        <v>0</v>
      </c>
      <c r="H310" s="180">
        <f t="shared" si="140"/>
        <v>1000</v>
      </c>
      <c r="I310" s="180">
        <f t="shared" si="141"/>
        <v>0</v>
      </c>
      <c r="J310" s="22">
        <f>D310*I310</f>
        <v>0</v>
      </c>
      <c r="K310" s="181">
        <f t="shared" ref="K310" si="143">G309*D309+G310*D310</f>
        <v>0</v>
      </c>
      <c r="L310" s="211">
        <f t="shared" ref="L310" si="144">J309+J310</f>
        <v>0</v>
      </c>
      <c r="M310" s="269"/>
    </row>
    <row r="311" spans="2:13" outlineLevel="1">
      <c r="B311" s="19"/>
      <c r="C311" s="19"/>
      <c r="D311" s="177"/>
      <c r="E311" s="19"/>
      <c r="F311" s="19"/>
      <c r="G311" s="19"/>
      <c r="H311" s="19"/>
      <c r="I311" s="19"/>
      <c r="J311" s="23"/>
      <c r="K311" s="29"/>
      <c r="L311" s="212"/>
      <c r="M311" s="25"/>
    </row>
    <row r="312" spans="2:13" outlineLevel="1">
      <c r="B312" s="18"/>
      <c r="C312" s="19"/>
      <c r="D312" s="177"/>
      <c r="E312" s="18"/>
      <c r="F312" s="18"/>
      <c r="G312" s="18"/>
      <c r="H312" s="18"/>
      <c r="I312" s="18"/>
      <c r="J312" s="24"/>
      <c r="K312" s="25"/>
      <c r="L312" s="99"/>
      <c r="M312" s="25"/>
    </row>
    <row r="313" spans="2:13" outlineLevel="1">
      <c r="B313" s="18"/>
      <c r="C313" s="19"/>
      <c r="D313" s="177"/>
      <c r="E313" s="18"/>
      <c r="F313" s="18"/>
      <c r="G313" s="18"/>
      <c r="H313" s="18"/>
      <c r="I313" s="18"/>
      <c r="J313" s="24"/>
      <c r="K313" s="25"/>
      <c r="L313" s="99"/>
      <c r="M313" s="25"/>
    </row>
    <row r="314" spans="2:13" outlineLevel="1">
      <c r="B314" s="18"/>
      <c r="C314" s="19"/>
      <c r="D314" s="177"/>
      <c r="E314" s="18"/>
      <c r="F314" s="18"/>
      <c r="G314" s="18"/>
      <c r="H314" s="18"/>
      <c r="I314" s="18"/>
      <c r="J314" s="24"/>
      <c r="K314" s="25"/>
      <c r="L314" s="99"/>
      <c r="M314" s="25"/>
    </row>
    <row r="315" spans="2:13" outlineLevel="1">
      <c r="B315" s="18"/>
      <c r="C315" s="19"/>
      <c r="D315" s="177"/>
      <c r="E315" s="18"/>
      <c r="F315" s="18"/>
      <c r="G315" s="18"/>
      <c r="H315" s="18"/>
      <c r="I315" s="18"/>
      <c r="J315" s="24"/>
      <c r="K315" s="25"/>
      <c r="L315" s="99"/>
      <c r="M315" s="25"/>
    </row>
    <row r="316" spans="2:13" ht="17" outlineLevel="1" thickBot="1">
      <c r="B316" s="26"/>
      <c r="C316" s="19"/>
      <c r="D316" s="177"/>
      <c r="E316" s="26"/>
      <c r="F316" s="26"/>
      <c r="G316" s="26"/>
      <c r="H316" s="26"/>
      <c r="I316" s="26"/>
      <c r="J316" s="27"/>
      <c r="K316" s="28"/>
      <c r="L316" s="213"/>
      <c r="M316" s="25"/>
    </row>
    <row r="317" spans="2:13" ht="84">
      <c r="B317" s="240">
        <v>22</v>
      </c>
      <c r="C317" s="238"/>
      <c r="D317" s="10" t="s">
        <v>9</v>
      </c>
      <c r="E317" s="11" t="s">
        <v>5</v>
      </c>
      <c r="F317" s="10" t="s">
        <v>6</v>
      </c>
      <c r="G317" s="10" t="s">
        <v>7</v>
      </c>
      <c r="H317" s="10" t="s">
        <v>8</v>
      </c>
      <c r="I317" s="11" t="s">
        <v>19</v>
      </c>
      <c r="J317" s="20" t="s">
        <v>20</v>
      </c>
      <c r="K317" s="31" t="s">
        <v>179</v>
      </c>
      <c r="L317" s="214" t="s">
        <v>180</v>
      </c>
      <c r="M317" s="32" t="s">
        <v>275</v>
      </c>
    </row>
    <row r="318" spans="2:13">
      <c r="B318" s="241"/>
      <c r="C318" s="239"/>
      <c r="D318" s="176">
        <v>0</v>
      </c>
      <c r="E318" s="13">
        <v>0</v>
      </c>
      <c r="F318" s="13">
        <f t="shared" ref="F318" si="145">IF($D$2*D318&lt;=200,0.33,0.25)</f>
        <v>0.33</v>
      </c>
      <c r="G318" s="13">
        <f t="shared" ref="G318:G319" si="146">E318*F318</f>
        <v>0</v>
      </c>
      <c r="H318" s="14">
        <f t="shared" ref="H318:H319" si="147">IF(($D$2*D318)&gt;40,750,IF(AND(8&lt;=($D$2*D318),($D$2*D318)&lt;=40),850,1000))</f>
        <v>1000</v>
      </c>
      <c r="I318" s="14">
        <f t="shared" ref="I318:I319" si="148">(E318*F318*H318)</f>
        <v>0</v>
      </c>
      <c r="J318" s="21">
        <f>D318*I318</f>
        <v>0</v>
      </c>
      <c r="K318" s="178"/>
      <c r="L318" s="210"/>
      <c r="M318" s="268">
        <f>IFERROR((180/($D$2*D318)),0)</f>
        <v>0</v>
      </c>
    </row>
    <row r="319" spans="2:13" ht="17" thickBot="1">
      <c r="B319" s="242"/>
      <c r="C319" s="15"/>
      <c r="D319" s="179">
        <v>0</v>
      </c>
      <c r="E319" s="16"/>
      <c r="F319" s="208">
        <f t="shared" ref="F319" si="149">IF($D$2*D318&lt;=200,0.017,0.0085)</f>
        <v>1.7000000000000001E-2</v>
      </c>
      <c r="G319" s="17">
        <f t="shared" si="146"/>
        <v>0</v>
      </c>
      <c r="H319" s="180">
        <f t="shared" si="147"/>
        <v>1000</v>
      </c>
      <c r="I319" s="180">
        <f t="shared" si="148"/>
        <v>0</v>
      </c>
      <c r="J319" s="22">
        <f>D319*I319</f>
        <v>0</v>
      </c>
      <c r="K319" s="181">
        <f t="shared" ref="K319" si="150">G318*D318+G319*D319</f>
        <v>0</v>
      </c>
      <c r="L319" s="211">
        <f t="shared" ref="L319" si="151">J318+J319</f>
        <v>0</v>
      </c>
      <c r="M319" s="269"/>
    </row>
    <row r="320" spans="2:13" outlineLevel="1">
      <c r="B320" s="19"/>
      <c r="C320" s="19"/>
      <c r="D320" s="177"/>
      <c r="E320" s="19"/>
      <c r="F320" s="19"/>
      <c r="G320" s="19"/>
      <c r="H320" s="19"/>
      <c r="I320" s="19"/>
      <c r="J320" s="23"/>
      <c r="K320" s="29"/>
      <c r="L320" s="212"/>
      <c r="M320" s="25"/>
    </row>
    <row r="321" spans="2:13" outlineLevel="1">
      <c r="B321" s="18"/>
      <c r="C321" s="19"/>
      <c r="D321" s="177"/>
      <c r="E321" s="18"/>
      <c r="F321" s="18"/>
      <c r="G321" s="18"/>
      <c r="H321" s="18"/>
      <c r="I321" s="18"/>
      <c r="J321" s="24"/>
      <c r="K321" s="25"/>
      <c r="L321" s="99"/>
      <c r="M321" s="25"/>
    </row>
    <row r="322" spans="2:13" outlineLevel="1">
      <c r="B322" s="18"/>
      <c r="C322" s="19"/>
      <c r="D322" s="177"/>
      <c r="E322" s="18"/>
      <c r="F322" s="18"/>
      <c r="G322" s="18"/>
      <c r="H322" s="18"/>
      <c r="I322" s="18"/>
      <c r="J322" s="24"/>
      <c r="K322" s="25"/>
      <c r="L322" s="99"/>
      <c r="M322" s="25"/>
    </row>
    <row r="323" spans="2:13" outlineLevel="1">
      <c r="B323" s="18"/>
      <c r="C323" s="19"/>
      <c r="D323" s="177"/>
      <c r="E323" s="18"/>
      <c r="F323" s="18"/>
      <c r="G323" s="18"/>
      <c r="H323" s="18"/>
      <c r="I323" s="18"/>
      <c r="J323" s="24"/>
      <c r="K323" s="25"/>
      <c r="L323" s="99"/>
      <c r="M323" s="25"/>
    </row>
    <row r="324" spans="2:13" outlineLevel="1">
      <c r="B324" s="18"/>
      <c r="C324" s="19"/>
      <c r="D324" s="177"/>
      <c r="E324" s="18"/>
      <c r="F324" s="18"/>
      <c r="G324" s="18"/>
      <c r="H324" s="18"/>
      <c r="I324" s="18"/>
      <c r="J324" s="24"/>
      <c r="K324" s="25"/>
      <c r="L324" s="99"/>
      <c r="M324" s="25"/>
    </row>
    <row r="325" spans="2:13" ht="17" outlineLevel="1" thickBot="1">
      <c r="B325" s="26"/>
      <c r="C325" s="19"/>
      <c r="D325" s="177"/>
      <c r="E325" s="26"/>
      <c r="F325" s="26"/>
      <c r="G325" s="26"/>
      <c r="H325" s="26"/>
      <c r="I325" s="26"/>
      <c r="J325" s="27"/>
      <c r="K325" s="28"/>
      <c r="L325" s="213"/>
      <c r="M325" s="25"/>
    </row>
    <row r="326" spans="2:13" ht="84">
      <c r="B326" s="240">
        <v>23</v>
      </c>
      <c r="C326" s="238"/>
      <c r="D326" s="10" t="s">
        <v>9</v>
      </c>
      <c r="E326" s="11" t="s">
        <v>5</v>
      </c>
      <c r="F326" s="10" t="s">
        <v>6</v>
      </c>
      <c r="G326" s="10" t="s">
        <v>7</v>
      </c>
      <c r="H326" s="10" t="s">
        <v>8</v>
      </c>
      <c r="I326" s="11" t="s">
        <v>19</v>
      </c>
      <c r="J326" s="20" t="s">
        <v>20</v>
      </c>
      <c r="K326" s="31" t="s">
        <v>179</v>
      </c>
      <c r="L326" s="214" t="s">
        <v>180</v>
      </c>
      <c r="M326" s="32" t="s">
        <v>275</v>
      </c>
    </row>
    <row r="327" spans="2:13">
      <c r="B327" s="241"/>
      <c r="C327" s="239"/>
      <c r="D327" s="176">
        <v>0</v>
      </c>
      <c r="E327" s="13">
        <v>0</v>
      </c>
      <c r="F327" s="13">
        <f t="shared" ref="F327" si="152">IF($D$2*D327&lt;=200,0.33,0.25)</f>
        <v>0.33</v>
      </c>
      <c r="G327" s="13">
        <f t="shared" ref="G327:G328" si="153">E327*F327</f>
        <v>0</v>
      </c>
      <c r="H327" s="14">
        <f t="shared" ref="H327:H328" si="154">IF(($D$2*D327)&gt;40,750,IF(AND(8&lt;=($D$2*D327),($D$2*D327)&lt;=40),850,1000))</f>
        <v>1000</v>
      </c>
      <c r="I327" s="14">
        <f t="shared" ref="I327:I328" si="155">(E327*F327*H327)</f>
        <v>0</v>
      </c>
      <c r="J327" s="21">
        <f>D327*I327</f>
        <v>0</v>
      </c>
      <c r="K327" s="178"/>
      <c r="L327" s="210"/>
      <c r="M327" s="268">
        <f>IFERROR((180/($D$2*D327)),0)</f>
        <v>0</v>
      </c>
    </row>
    <row r="328" spans="2:13" ht="17" thickBot="1">
      <c r="B328" s="242"/>
      <c r="C328" s="15"/>
      <c r="D328" s="179">
        <v>0</v>
      </c>
      <c r="E328" s="16"/>
      <c r="F328" s="208">
        <f t="shared" ref="F328" si="156">IF($D$2*D327&lt;=200,0.017,0.0085)</f>
        <v>1.7000000000000001E-2</v>
      </c>
      <c r="G328" s="17">
        <f t="shared" si="153"/>
        <v>0</v>
      </c>
      <c r="H328" s="180">
        <f t="shared" si="154"/>
        <v>1000</v>
      </c>
      <c r="I328" s="180">
        <f t="shared" si="155"/>
        <v>0</v>
      </c>
      <c r="J328" s="22">
        <f>D328*I328</f>
        <v>0</v>
      </c>
      <c r="K328" s="181">
        <f t="shared" ref="K328" si="157">G327*D327+G328*D328</f>
        <v>0</v>
      </c>
      <c r="L328" s="211">
        <f t="shared" ref="L328" si="158">J327+J328</f>
        <v>0</v>
      </c>
      <c r="M328" s="269"/>
    </row>
    <row r="329" spans="2:13" outlineLevel="1">
      <c r="B329" s="19"/>
      <c r="C329" s="19"/>
      <c r="D329" s="177"/>
      <c r="E329" s="19"/>
      <c r="F329" s="19"/>
      <c r="G329" s="19"/>
      <c r="H329" s="19"/>
      <c r="I329" s="19"/>
      <c r="J329" s="23"/>
      <c r="K329" s="29"/>
      <c r="L329" s="212"/>
      <c r="M329" s="25"/>
    </row>
    <row r="330" spans="2:13" outlineLevel="1">
      <c r="B330" s="18"/>
      <c r="C330" s="19"/>
      <c r="D330" s="177"/>
      <c r="E330" s="18"/>
      <c r="F330" s="18"/>
      <c r="G330" s="18"/>
      <c r="H330" s="18"/>
      <c r="I330" s="18"/>
      <c r="J330" s="24"/>
      <c r="K330" s="25"/>
      <c r="L330" s="99"/>
      <c r="M330" s="25"/>
    </row>
    <row r="331" spans="2:13" outlineLevel="1">
      <c r="B331" s="18"/>
      <c r="C331" s="19"/>
      <c r="D331" s="177"/>
      <c r="E331" s="18"/>
      <c r="F331" s="18"/>
      <c r="G331" s="18"/>
      <c r="H331" s="18"/>
      <c r="I331" s="18"/>
      <c r="J331" s="24"/>
      <c r="K331" s="25"/>
      <c r="L331" s="99"/>
      <c r="M331" s="25"/>
    </row>
    <row r="332" spans="2:13" outlineLevel="1">
      <c r="B332" s="18"/>
      <c r="C332" s="19"/>
      <c r="D332" s="177"/>
      <c r="E332" s="18"/>
      <c r="F332" s="18"/>
      <c r="G332" s="18"/>
      <c r="H332" s="18"/>
      <c r="I332" s="18"/>
      <c r="J332" s="24"/>
      <c r="K332" s="25"/>
      <c r="L332" s="99"/>
      <c r="M332" s="25"/>
    </row>
    <row r="333" spans="2:13" outlineLevel="1">
      <c r="B333" s="18"/>
      <c r="C333" s="19"/>
      <c r="D333" s="177"/>
      <c r="E333" s="18"/>
      <c r="F333" s="18"/>
      <c r="G333" s="18"/>
      <c r="H333" s="18"/>
      <c r="I333" s="18"/>
      <c r="J333" s="24"/>
      <c r="K333" s="25"/>
      <c r="L333" s="99"/>
      <c r="M333" s="25"/>
    </row>
    <row r="334" spans="2:13" ht="17" outlineLevel="1" thickBot="1">
      <c r="B334" s="26"/>
      <c r="C334" s="19"/>
      <c r="D334" s="177"/>
      <c r="E334" s="26"/>
      <c r="F334" s="26"/>
      <c r="G334" s="26"/>
      <c r="H334" s="26"/>
      <c r="I334" s="26"/>
      <c r="J334" s="27"/>
      <c r="K334" s="28"/>
      <c r="L334" s="213"/>
      <c r="M334" s="25"/>
    </row>
    <row r="335" spans="2:13" ht="84">
      <c r="B335" s="240">
        <v>24</v>
      </c>
      <c r="C335" s="238"/>
      <c r="D335" s="10" t="s">
        <v>9</v>
      </c>
      <c r="E335" s="11" t="s">
        <v>5</v>
      </c>
      <c r="F335" s="10" t="s">
        <v>6</v>
      </c>
      <c r="G335" s="10" t="s">
        <v>7</v>
      </c>
      <c r="H335" s="10" t="s">
        <v>8</v>
      </c>
      <c r="I335" s="11" t="s">
        <v>19</v>
      </c>
      <c r="J335" s="20" t="s">
        <v>20</v>
      </c>
      <c r="K335" s="31" t="s">
        <v>179</v>
      </c>
      <c r="L335" s="214" t="s">
        <v>180</v>
      </c>
      <c r="M335" s="32" t="s">
        <v>275</v>
      </c>
    </row>
    <row r="336" spans="2:13">
      <c r="B336" s="241"/>
      <c r="C336" s="239"/>
      <c r="D336" s="176">
        <v>0</v>
      </c>
      <c r="E336" s="13">
        <v>0</v>
      </c>
      <c r="F336" s="13">
        <f t="shared" ref="F336" si="159">IF($D$2*D336&lt;=200,0.33,0.25)</f>
        <v>0.33</v>
      </c>
      <c r="G336" s="13">
        <f t="shared" ref="G336:G337" si="160">E336*F336</f>
        <v>0</v>
      </c>
      <c r="H336" s="14">
        <f t="shared" ref="H336:H337" si="161">IF(($D$2*D336)&gt;40,750,IF(AND(8&lt;=($D$2*D336),($D$2*D336)&lt;=40),850,1000))</f>
        <v>1000</v>
      </c>
      <c r="I336" s="14">
        <f t="shared" ref="I336:I337" si="162">(E336*F336*H336)</f>
        <v>0</v>
      </c>
      <c r="J336" s="21">
        <f>D336*I336</f>
        <v>0</v>
      </c>
      <c r="K336" s="178"/>
      <c r="L336" s="210"/>
      <c r="M336" s="268">
        <f>IFERROR((180/($D$2*D336)),0)</f>
        <v>0</v>
      </c>
    </row>
    <row r="337" spans="2:13" ht="17" thickBot="1">
      <c r="B337" s="242"/>
      <c r="C337" s="15"/>
      <c r="D337" s="179">
        <v>0</v>
      </c>
      <c r="E337" s="16"/>
      <c r="F337" s="208">
        <f t="shared" ref="F337" si="163">IF($D$2*D336&lt;=200,0.017,0.0085)</f>
        <v>1.7000000000000001E-2</v>
      </c>
      <c r="G337" s="17">
        <f t="shared" si="160"/>
        <v>0</v>
      </c>
      <c r="H337" s="180">
        <f t="shared" si="161"/>
        <v>1000</v>
      </c>
      <c r="I337" s="180">
        <f t="shared" si="162"/>
        <v>0</v>
      </c>
      <c r="J337" s="22">
        <f>D337*I337</f>
        <v>0</v>
      </c>
      <c r="K337" s="181">
        <f t="shared" ref="K337" si="164">G336*D336+G337*D337</f>
        <v>0</v>
      </c>
      <c r="L337" s="211">
        <f t="shared" ref="L337" si="165">J336+J337</f>
        <v>0</v>
      </c>
      <c r="M337" s="269"/>
    </row>
    <row r="338" spans="2:13" outlineLevel="1">
      <c r="B338" s="19"/>
      <c r="C338" s="19"/>
      <c r="D338" s="177"/>
      <c r="E338" s="19"/>
      <c r="F338" s="19"/>
      <c r="G338" s="19"/>
      <c r="H338" s="19"/>
      <c r="I338" s="19"/>
      <c r="J338" s="23"/>
      <c r="K338" s="29"/>
      <c r="L338" s="212"/>
      <c r="M338" s="25"/>
    </row>
    <row r="339" spans="2:13" outlineLevel="1">
      <c r="B339" s="18"/>
      <c r="C339" s="19"/>
      <c r="D339" s="177"/>
      <c r="E339" s="18"/>
      <c r="F339" s="18"/>
      <c r="G339" s="18"/>
      <c r="H339" s="18"/>
      <c r="I339" s="18"/>
      <c r="J339" s="24"/>
      <c r="K339" s="25"/>
      <c r="L339" s="99"/>
      <c r="M339" s="25"/>
    </row>
    <row r="340" spans="2:13" outlineLevel="1">
      <c r="B340" s="18"/>
      <c r="C340" s="19"/>
      <c r="D340" s="177"/>
      <c r="E340" s="18"/>
      <c r="F340" s="18"/>
      <c r="G340" s="18"/>
      <c r="H340" s="18"/>
      <c r="I340" s="18"/>
      <c r="J340" s="24"/>
      <c r="K340" s="25"/>
      <c r="L340" s="99"/>
      <c r="M340" s="25"/>
    </row>
    <row r="341" spans="2:13" outlineLevel="1">
      <c r="B341" s="18"/>
      <c r="C341" s="19"/>
      <c r="D341" s="177"/>
      <c r="E341" s="18"/>
      <c r="F341" s="18"/>
      <c r="G341" s="18"/>
      <c r="H341" s="18"/>
      <c r="I341" s="18"/>
      <c r="J341" s="24"/>
      <c r="K341" s="25"/>
      <c r="L341" s="99"/>
      <c r="M341" s="25"/>
    </row>
    <row r="342" spans="2:13" outlineLevel="1">
      <c r="B342" s="18"/>
      <c r="C342" s="19"/>
      <c r="D342" s="177"/>
      <c r="E342" s="18"/>
      <c r="F342" s="18"/>
      <c r="G342" s="18"/>
      <c r="H342" s="18"/>
      <c r="I342" s="18"/>
      <c r="J342" s="24"/>
      <c r="K342" s="25"/>
      <c r="L342" s="99"/>
      <c r="M342" s="25"/>
    </row>
    <row r="343" spans="2:13" ht="17" outlineLevel="1" thickBot="1">
      <c r="B343" s="26"/>
      <c r="C343" s="19"/>
      <c r="D343" s="177"/>
      <c r="E343" s="26"/>
      <c r="F343" s="26"/>
      <c r="G343" s="26"/>
      <c r="H343" s="26"/>
      <c r="I343" s="26"/>
      <c r="J343" s="27"/>
      <c r="K343" s="28"/>
      <c r="L343" s="213"/>
      <c r="M343" s="25"/>
    </row>
    <row r="344" spans="2:13" ht="84">
      <c r="B344" s="240">
        <v>25</v>
      </c>
      <c r="C344" s="238"/>
      <c r="D344" s="10" t="s">
        <v>9</v>
      </c>
      <c r="E344" s="11" t="s">
        <v>5</v>
      </c>
      <c r="F344" s="10" t="s">
        <v>6</v>
      </c>
      <c r="G344" s="10" t="s">
        <v>7</v>
      </c>
      <c r="H344" s="10" t="s">
        <v>8</v>
      </c>
      <c r="I344" s="11" t="s">
        <v>19</v>
      </c>
      <c r="J344" s="20" t="s">
        <v>20</v>
      </c>
      <c r="K344" s="31" t="s">
        <v>179</v>
      </c>
      <c r="L344" s="214" t="s">
        <v>180</v>
      </c>
      <c r="M344" s="32" t="s">
        <v>275</v>
      </c>
    </row>
    <row r="345" spans="2:13">
      <c r="B345" s="241"/>
      <c r="C345" s="239"/>
      <c r="D345" s="176">
        <v>0</v>
      </c>
      <c r="E345" s="13">
        <v>0</v>
      </c>
      <c r="F345" s="13">
        <f t="shared" ref="F345" si="166">IF($D$2*D345&lt;=200,0.33,0.25)</f>
        <v>0.33</v>
      </c>
      <c r="G345" s="13">
        <f t="shared" ref="G345:G346" si="167">E345*F345</f>
        <v>0</v>
      </c>
      <c r="H345" s="14">
        <f t="shared" ref="H345:H346" si="168">IF(($D$2*D345)&gt;40,750,IF(AND(8&lt;=($D$2*D345),($D$2*D345)&lt;=40),850,1000))</f>
        <v>1000</v>
      </c>
      <c r="I345" s="14">
        <f t="shared" ref="I345:I346" si="169">(E345*F345*H345)</f>
        <v>0</v>
      </c>
      <c r="J345" s="21">
        <f>D345*I345</f>
        <v>0</v>
      </c>
      <c r="K345" s="178"/>
      <c r="L345" s="210"/>
      <c r="M345" s="268">
        <f>IFERROR((180/($D$2*D345)),0)</f>
        <v>0</v>
      </c>
    </row>
    <row r="346" spans="2:13" ht="17" thickBot="1">
      <c r="B346" s="242"/>
      <c r="C346" s="15"/>
      <c r="D346" s="179">
        <v>0</v>
      </c>
      <c r="E346" s="16"/>
      <c r="F346" s="208">
        <f t="shared" ref="F346" si="170">IF($D$2*D345&lt;=200,0.017,0.0085)</f>
        <v>1.7000000000000001E-2</v>
      </c>
      <c r="G346" s="17">
        <f t="shared" si="167"/>
        <v>0</v>
      </c>
      <c r="H346" s="180">
        <f t="shared" si="168"/>
        <v>1000</v>
      </c>
      <c r="I346" s="180">
        <f t="shared" si="169"/>
        <v>0</v>
      </c>
      <c r="J346" s="22">
        <f>D346*I346</f>
        <v>0</v>
      </c>
      <c r="K346" s="181">
        <f t="shared" ref="K346" si="171">G345*D345+G346*D346</f>
        <v>0</v>
      </c>
      <c r="L346" s="211">
        <f t="shared" ref="L346" si="172">J345+J346</f>
        <v>0</v>
      </c>
      <c r="M346" s="269"/>
    </row>
    <row r="347" spans="2:13" outlineLevel="1">
      <c r="B347" s="19"/>
      <c r="C347" s="19"/>
      <c r="D347" s="177"/>
      <c r="E347" s="19"/>
      <c r="F347" s="19"/>
      <c r="G347" s="19"/>
      <c r="H347" s="19"/>
      <c r="I347" s="19"/>
      <c r="J347" s="23"/>
      <c r="K347" s="29"/>
      <c r="L347" s="212"/>
      <c r="M347" s="25"/>
    </row>
    <row r="348" spans="2:13" outlineLevel="1">
      <c r="B348" s="18"/>
      <c r="C348" s="19"/>
      <c r="D348" s="177"/>
      <c r="E348" s="18"/>
      <c r="F348" s="18"/>
      <c r="G348" s="18"/>
      <c r="H348" s="18"/>
      <c r="I348" s="18"/>
      <c r="J348" s="24"/>
      <c r="K348" s="25"/>
      <c r="L348" s="99"/>
      <c r="M348" s="25"/>
    </row>
    <row r="349" spans="2:13" outlineLevel="1">
      <c r="B349" s="18"/>
      <c r="C349" s="19"/>
      <c r="D349" s="177"/>
      <c r="E349" s="18"/>
      <c r="F349" s="18"/>
      <c r="G349" s="18"/>
      <c r="H349" s="18"/>
      <c r="I349" s="18"/>
      <c r="J349" s="24"/>
      <c r="K349" s="25"/>
      <c r="L349" s="99"/>
      <c r="M349" s="25"/>
    </row>
    <row r="350" spans="2:13" outlineLevel="1">
      <c r="B350" s="18"/>
      <c r="C350" s="19"/>
      <c r="D350" s="177"/>
      <c r="E350" s="18"/>
      <c r="F350" s="18"/>
      <c r="G350" s="18"/>
      <c r="H350" s="18"/>
      <c r="I350" s="18"/>
      <c r="J350" s="24"/>
      <c r="K350" s="25"/>
      <c r="L350" s="99"/>
      <c r="M350" s="25"/>
    </row>
    <row r="351" spans="2:13" outlineLevel="1">
      <c r="B351" s="18"/>
      <c r="C351" s="19"/>
      <c r="D351" s="177"/>
      <c r="E351" s="18"/>
      <c r="F351" s="18"/>
      <c r="G351" s="18"/>
      <c r="H351" s="18"/>
      <c r="I351" s="18"/>
      <c r="J351" s="24"/>
      <c r="K351" s="25"/>
      <c r="L351" s="99"/>
      <c r="M351" s="25"/>
    </row>
    <row r="352" spans="2:13" ht="17" outlineLevel="1" thickBot="1">
      <c r="B352" s="26"/>
      <c r="C352" s="19"/>
      <c r="D352" s="177"/>
      <c r="E352" s="26"/>
      <c r="F352" s="26"/>
      <c r="G352" s="26"/>
      <c r="H352" s="26"/>
      <c r="I352" s="26"/>
      <c r="J352" s="27"/>
      <c r="K352" s="28"/>
      <c r="L352" s="213"/>
      <c r="M352" s="25"/>
    </row>
    <row r="353" spans="2:13" ht="84">
      <c r="B353" s="240">
        <v>26</v>
      </c>
      <c r="C353" s="238"/>
      <c r="D353" s="10" t="s">
        <v>9</v>
      </c>
      <c r="E353" s="11" t="s">
        <v>5</v>
      </c>
      <c r="F353" s="10" t="s">
        <v>6</v>
      </c>
      <c r="G353" s="10" t="s">
        <v>7</v>
      </c>
      <c r="H353" s="10" t="s">
        <v>8</v>
      </c>
      <c r="I353" s="11" t="s">
        <v>19</v>
      </c>
      <c r="J353" s="20" t="s">
        <v>20</v>
      </c>
      <c r="K353" s="31" t="s">
        <v>179</v>
      </c>
      <c r="L353" s="214" t="s">
        <v>180</v>
      </c>
      <c r="M353" s="32" t="s">
        <v>275</v>
      </c>
    </row>
    <row r="354" spans="2:13">
      <c r="B354" s="241"/>
      <c r="C354" s="239"/>
      <c r="D354" s="176">
        <v>0</v>
      </c>
      <c r="E354" s="13">
        <v>0</v>
      </c>
      <c r="F354" s="13">
        <f t="shared" ref="F354" si="173">IF($D$2*D354&lt;=200,0.33,0.25)</f>
        <v>0.33</v>
      </c>
      <c r="G354" s="13">
        <f t="shared" ref="G354:G355" si="174">E354*F354</f>
        <v>0</v>
      </c>
      <c r="H354" s="14">
        <f t="shared" ref="H354:H355" si="175">IF(($D$2*D354)&gt;40,750,IF(AND(8&lt;=($D$2*D354),($D$2*D354)&lt;=40),850,1000))</f>
        <v>1000</v>
      </c>
      <c r="I354" s="14">
        <f t="shared" ref="I354:I355" si="176">(E354*F354*H354)</f>
        <v>0</v>
      </c>
      <c r="J354" s="21">
        <f>D354*I354</f>
        <v>0</v>
      </c>
      <c r="K354" s="178"/>
      <c r="L354" s="210"/>
      <c r="M354" s="268">
        <f>IFERROR((180/($D$2*D354)),0)</f>
        <v>0</v>
      </c>
    </row>
    <row r="355" spans="2:13" ht="17" thickBot="1">
      <c r="B355" s="242"/>
      <c r="C355" s="15"/>
      <c r="D355" s="179">
        <v>0</v>
      </c>
      <c r="E355" s="16"/>
      <c r="F355" s="208">
        <f t="shared" ref="F355" si="177">IF($D$2*D354&lt;=200,0.017,0.0085)</f>
        <v>1.7000000000000001E-2</v>
      </c>
      <c r="G355" s="17">
        <f t="shared" si="174"/>
        <v>0</v>
      </c>
      <c r="H355" s="180">
        <f t="shared" si="175"/>
        <v>1000</v>
      </c>
      <c r="I355" s="180">
        <f t="shared" si="176"/>
        <v>0</v>
      </c>
      <c r="J355" s="22">
        <f>D355*I355</f>
        <v>0</v>
      </c>
      <c r="K355" s="181">
        <f t="shared" ref="K355" si="178">G354*D354+G355*D355</f>
        <v>0</v>
      </c>
      <c r="L355" s="211">
        <f t="shared" ref="L355" si="179">J354+J355</f>
        <v>0</v>
      </c>
      <c r="M355" s="269"/>
    </row>
    <row r="356" spans="2:13" outlineLevel="1">
      <c r="B356" s="19"/>
      <c r="C356" s="19"/>
      <c r="D356" s="177"/>
      <c r="E356" s="19"/>
      <c r="F356" s="19"/>
      <c r="G356" s="19"/>
      <c r="H356" s="19"/>
      <c r="I356" s="19"/>
      <c r="J356" s="23"/>
      <c r="K356" s="29"/>
      <c r="L356" s="212"/>
      <c r="M356" s="25"/>
    </row>
    <row r="357" spans="2:13" outlineLevel="1">
      <c r="B357" s="18"/>
      <c r="C357" s="19"/>
      <c r="D357" s="177"/>
      <c r="E357" s="18"/>
      <c r="F357" s="18"/>
      <c r="G357" s="18"/>
      <c r="H357" s="18"/>
      <c r="I357" s="18"/>
      <c r="J357" s="24"/>
      <c r="K357" s="25"/>
      <c r="L357" s="99"/>
      <c r="M357" s="25"/>
    </row>
    <row r="358" spans="2:13" outlineLevel="1">
      <c r="B358" s="18"/>
      <c r="C358" s="19"/>
      <c r="D358" s="177"/>
      <c r="E358" s="18"/>
      <c r="F358" s="18"/>
      <c r="G358" s="18"/>
      <c r="H358" s="18"/>
      <c r="I358" s="18"/>
      <c r="J358" s="24"/>
      <c r="K358" s="25"/>
      <c r="L358" s="99"/>
      <c r="M358" s="25"/>
    </row>
    <row r="359" spans="2:13" outlineLevel="1">
      <c r="B359" s="18"/>
      <c r="C359" s="19"/>
      <c r="D359" s="177"/>
      <c r="E359" s="18"/>
      <c r="F359" s="18"/>
      <c r="G359" s="18"/>
      <c r="H359" s="18"/>
      <c r="I359" s="18"/>
      <c r="J359" s="24"/>
      <c r="K359" s="25"/>
      <c r="L359" s="99"/>
      <c r="M359" s="25"/>
    </row>
    <row r="360" spans="2:13" outlineLevel="1">
      <c r="B360" s="18"/>
      <c r="C360" s="19"/>
      <c r="D360" s="177"/>
      <c r="E360" s="18"/>
      <c r="F360" s="18"/>
      <c r="G360" s="18"/>
      <c r="H360" s="18"/>
      <c r="I360" s="18"/>
      <c r="J360" s="24"/>
      <c r="K360" s="25"/>
      <c r="L360" s="99"/>
      <c r="M360" s="25"/>
    </row>
    <row r="361" spans="2:13" ht="17" outlineLevel="1" thickBot="1">
      <c r="B361" s="26"/>
      <c r="C361" s="19"/>
      <c r="D361" s="177"/>
      <c r="E361" s="26"/>
      <c r="F361" s="26"/>
      <c r="G361" s="26"/>
      <c r="H361" s="26"/>
      <c r="I361" s="26"/>
      <c r="J361" s="27"/>
      <c r="K361" s="28"/>
      <c r="L361" s="213"/>
      <c r="M361" s="25"/>
    </row>
    <row r="362" spans="2:13" ht="84">
      <c r="B362" s="240">
        <v>27</v>
      </c>
      <c r="C362" s="238"/>
      <c r="D362" s="10" t="s">
        <v>9</v>
      </c>
      <c r="E362" s="11" t="s">
        <v>5</v>
      </c>
      <c r="F362" s="10" t="s">
        <v>6</v>
      </c>
      <c r="G362" s="10" t="s">
        <v>7</v>
      </c>
      <c r="H362" s="10" t="s">
        <v>8</v>
      </c>
      <c r="I362" s="11" t="s">
        <v>19</v>
      </c>
      <c r="J362" s="20" t="s">
        <v>20</v>
      </c>
      <c r="K362" s="31" t="s">
        <v>179</v>
      </c>
      <c r="L362" s="214" t="s">
        <v>180</v>
      </c>
      <c r="M362" s="32" t="s">
        <v>275</v>
      </c>
    </row>
    <row r="363" spans="2:13">
      <c r="B363" s="241"/>
      <c r="C363" s="239"/>
      <c r="D363" s="176">
        <v>0</v>
      </c>
      <c r="E363" s="13">
        <v>0</v>
      </c>
      <c r="F363" s="13">
        <f t="shared" ref="F363" si="180">IF($D$2*D363&lt;=200,0.33,0.25)</f>
        <v>0.33</v>
      </c>
      <c r="G363" s="13">
        <f t="shared" ref="G363:G364" si="181">E363*F363</f>
        <v>0</v>
      </c>
      <c r="H363" s="14">
        <f t="shared" ref="H363:H364" si="182">IF(($D$2*D363)&gt;40,750,IF(AND(8&lt;=($D$2*D363),($D$2*D363)&lt;=40),850,1000))</f>
        <v>1000</v>
      </c>
      <c r="I363" s="14">
        <f t="shared" ref="I363:I364" si="183">(E363*F363*H363)</f>
        <v>0</v>
      </c>
      <c r="J363" s="21">
        <f>D363*I363</f>
        <v>0</v>
      </c>
      <c r="K363" s="178"/>
      <c r="L363" s="210"/>
      <c r="M363" s="268">
        <f>IFERROR((180/($D$2*D363)),0)</f>
        <v>0</v>
      </c>
    </row>
    <row r="364" spans="2:13" ht="17" thickBot="1">
      <c r="B364" s="242"/>
      <c r="C364" s="15"/>
      <c r="D364" s="179">
        <v>0</v>
      </c>
      <c r="E364" s="16"/>
      <c r="F364" s="208">
        <f t="shared" ref="F364" si="184">IF($D$2*D363&lt;=200,0.017,0.0085)</f>
        <v>1.7000000000000001E-2</v>
      </c>
      <c r="G364" s="17">
        <f t="shared" si="181"/>
        <v>0</v>
      </c>
      <c r="H364" s="180">
        <f t="shared" si="182"/>
        <v>1000</v>
      </c>
      <c r="I364" s="180">
        <f t="shared" si="183"/>
        <v>0</v>
      </c>
      <c r="J364" s="22">
        <f>D364*I364</f>
        <v>0</v>
      </c>
      <c r="K364" s="181">
        <f t="shared" ref="K364" si="185">G363*D363+G364*D364</f>
        <v>0</v>
      </c>
      <c r="L364" s="211">
        <f t="shared" ref="L364" si="186">J363+J364</f>
        <v>0</v>
      </c>
      <c r="M364" s="269"/>
    </row>
    <row r="365" spans="2:13" outlineLevel="1">
      <c r="B365" s="19"/>
      <c r="C365" s="19"/>
      <c r="D365" s="177"/>
      <c r="E365" s="19"/>
      <c r="F365" s="19"/>
      <c r="G365" s="19"/>
      <c r="H365" s="19"/>
      <c r="I365" s="19"/>
      <c r="J365" s="23"/>
      <c r="K365" s="29"/>
      <c r="L365" s="212"/>
      <c r="M365" s="25"/>
    </row>
    <row r="366" spans="2:13" outlineLevel="1">
      <c r="B366" s="18"/>
      <c r="C366" s="19"/>
      <c r="D366" s="177"/>
      <c r="E366" s="18"/>
      <c r="F366" s="18"/>
      <c r="G366" s="18"/>
      <c r="H366" s="18"/>
      <c r="I366" s="18"/>
      <c r="J366" s="24"/>
      <c r="K366" s="25"/>
      <c r="L366" s="99"/>
      <c r="M366" s="25"/>
    </row>
    <row r="367" spans="2:13" outlineLevel="1">
      <c r="B367" s="18"/>
      <c r="C367" s="19"/>
      <c r="D367" s="177"/>
      <c r="E367" s="18"/>
      <c r="F367" s="18"/>
      <c r="G367" s="18"/>
      <c r="H367" s="18"/>
      <c r="I367" s="18"/>
      <c r="J367" s="24"/>
      <c r="K367" s="25"/>
      <c r="L367" s="99"/>
      <c r="M367" s="25"/>
    </row>
    <row r="368" spans="2:13" outlineLevel="1">
      <c r="B368" s="18"/>
      <c r="C368" s="19"/>
      <c r="D368" s="177"/>
      <c r="E368" s="18"/>
      <c r="F368" s="18"/>
      <c r="G368" s="18"/>
      <c r="H368" s="18"/>
      <c r="I368" s="18"/>
      <c r="J368" s="24"/>
      <c r="K368" s="25"/>
      <c r="L368" s="99"/>
      <c r="M368" s="25"/>
    </row>
    <row r="369" spans="2:13" outlineLevel="1">
      <c r="B369" s="18"/>
      <c r="C369" s="19"/>
      <c r="D369" s="177"/>
      <c r="E369" s="18"/>
      <c r="F369" s="18"/>
      <c r="G369" s="18"/>
      <c r="H369" s="18"/>
      <c r="I369" s="18"/>
      <c r="J369" s="24"/>
      <c r="K369" s="25"/>
      <c r="L369" s="99"/>
      <c r="M369" s="25"/>
    </row>
    <row r="370" spans="2:13" ht="17" outlineLevel="1" thickBot="1">
      <c r="B370" s="26"/>
      <c r="C370" s="19"/>
      <c r="D370" s="177"/>
      <c r="E370" s="26"/>
      <c r="F370" s="26"/>
      <c r="G370" s="26"/>
      <c r="H370" s="26"/>
      <c r="I370" s="26"/>
      <c r="J370" s="27"/>
      <c r="K370" s="28"/>
      <c r="L370" s="213"/>
      <c r="M370" s="25"/>
    </row>
    <row r="371" spans="2:13" ht="84">
      <c r="B371" s="240">
        <v>28</v>
      </c>
      <c r="C371" s="238"/>
      <c r="D371" s="10" t="s">
        <v>9</v>
      </c>
      <c r="E371" s="11" t="s">
        <v>5</v>
      </c>
      <c r="F371" s="10" t="s">
        <v>6</v>
      </c>
      <c r="G371" s="10" t="s">
        <v>7</v>
      </c>
      <c r="H371" s="10" t="s">
        <v>8</v>
      </c>
      <c r="I371" s="11" t="s">
        <v>19</v>
      </c>
      <c r="J371" s="20" t="s">
        <v>20</v>
      </c>
      <c r="K371" s="31" t="s">
        <v>179</v>
      </c>
      <c r="L371" s="214" t="s">
        <v>180</v>
      </c>
      <c r="M371" s="32" t="s">
        <v>275</v>
      </c>
    </row>
    <row r="372" spans="2:13">
      <c r="B372" s="241"/>
      <c r="C372" s="239"/>
      <c r="D372" s="176">
        <v>0</v>
      </c>
      <c r="E372" s="13">
        <v>0</v>
      </c>
      <c r="F372" s="13">
        <f t="shared" ref="F372" si="187">IF($D$2*D372&lt;=200,0.33,0.25)</f>
        <v>0.33</v>
      </c>
      <c r="G372" s="13">
        <f t="shared" ref="G372:G373" si="188">E372*F372</f>
        <v>0</v>
      </c>
      <c r="H372" s="14">
        <f t="shared" ref="H372:H373" si="189">IF(($D$2*D372)&gt;40,750,IF(AND(8&lt;=($D$2*D372),($D$2*D372)&lt;=40),850,1000))</f>
        <v>1000</v>
      </c>
      <c r="I372" s="14">
        <f t="shared" ref="I372:I373" si="190">(E372*F372*H372)</f>
        <v>0</v>
      </c>
      <c r="J372" s="21">
        <f>D372*I372</f>
        <v>0</v>
      </c>
      <c r="K372" s="178"/>
      <c r="L372" s="210"/>
      <c r="M372" s="268">
        <f>IFERROR((180/($D$2*D372)),0)</f>
        <v>0</v>
      </c>
    </row>
    <row r="373" spans="2:13" ht="17" thickBot="1">
      <c r="B373" s="242"/>
      <c r="C373" s="15"/>
      <c r="D373" s="179">
        <v>0</v>
      </c>
      <c r="E373" s="16"/>
      <c r="F373" s="208">
        <f t="shared" ref="F373" si="191">IF($D$2*D372&lt;=200,0.017,0.0085)</f>
        <v>1.7000000000000001E-2</v>
      </c>
      <c r="G373" s="17">
        <f t="shared" si="188"/>
        <v>0</v>
      </c>
      <c r="H373" s="180">
        <f t="shared" si="189"/>
        <v>1000</v>
      </c>
      <c r="I373" s="180">
        <f t="shared" si="190"/>
        <v>0</v>
      </c>
      <c r="J373" s="22">
        <f>D373*I373</f>
        <v>0</v>
      </c>
      <c r="K373" s="181">
        <f t="shared" ref="K373" si="192">G372*D372+G373*D373</f>
        <v>0</v>
      </c>
      <c r="L373" s="211">
        <f t="shared" ref="L373" si="193">J372+J373</f>
        <v>0</v>
      </c>
      <c r="M373" s="269"/>
    </row>
    <row r="374" spans="2:13" outlineLevel="1">
      <c r="B374" s="19"/>
      <c r="C374" s="19"/>
      <c r="D374" s="177"/>
      <c r="E374" s="19"/>
      <c r="F374" s="19"/>
      <c r="G374" s="19"/>
      <c r="H374" s="19"/>
      <c r="I374" s="19"/>
      <c r="J374" s="23"/>
      <c r="K374" s="29"/>
      <c r="L374" s="212"/>
      <c r="M374" s="25"/>
    </row>
    <row r="375" spans="2:13" outlineLevel="1">
      <c r="B375" s="18"/>
      <c r="C375" s="19"/>
      <c r="D375" s="177"/>
      <c r="E375" s="18"/>
      <c r="F375" s="18"/>
      <c r="G375" s="18"/>
      <c r="H375" s="18"/>
      <c r="I375" s="18"/>
      <c r="J375" s="24"/>
      <c r="K375" s="25"/>
      <c r="L375" s="99"/>
      <c r="M375" s="25"/>
    </row>
    <row r="376" spans="2:13" outlineLevel="1">
      <c r="B376" s="18"/>
      <c r="C376" s="19"/>
      <c r="D376" s="177"/>
      <c r="E376" s="18"/>
      <c r="F376" s="18"/>
      <c r="G376" s="18"/>
      <c r="H376" s="18"/>
      <c r="I376" s="18"/>
      <c r="J376" s="24"/>
      <c r="K376" s="25"/>
      <c r="L376" s="99"/>
      <c r="M376" s="25"/>
    </row>
    <row r="377" spans="2:13" outlineLevel="1">
      <c r="B377" s="18"/>
      <c r="C377" s="19"/>
      <c r="D377" s="177"/>
      <c r="E377" s="18"/>
      <c r="F377" s="18"/>
      <c r="G377" s="18"/>
      <c r="H377" s="18"/>
      <c r="I377" s="18"/>
      <c r="J377" s="24"/>
      <c r="K377" s="25"/>
      <c r="L377" s="99"/>
      <c r="M377" s="25"/>
    </row>
    <row r="378" spans="2:13" outlineLevel="1">
      <c r="B378" s="18"/>
      <c r="C378" s="19"/>
      <c r="D378" s="177"/>
      <c r="E378" s="18"/>
      <c r="F378" s="18"/>
      <c r="G378" s="18"/>
      <c r="H378" s="18"/>
      <c r="I378" s="18"/>
      <c r="J378" s="24"/>
      <c r="K378" s="25"/>
      <c r="L378" s="99"/>
      <c r="M378" s="25"/>
    </row>
    <row r="379" spans="2:13" ht="17" outlineLevel="1" thickBot="1">
      <c r="B379" s="26"/>
      <c r="C379" s="19"/>
      <c r="D379" s="177"/>
      <c r="E379" s="26"/>
      <c r="F379" s="26"/>
      <c r="G379" s="26"/>
      <c r="H379" s="26"/>
      <c r="I379" s="26"/>
      <c r="J379" s="27"/>
      <c r="K379" s="28"/>
      <c r="L379" s="213"/>
      <c r="M379" s="25"/>
    </row>
    <row r="380" spans="2:13" ht="84">
      <c r="B380" s="240">
        <v>29</v>
      </c>
      <c r="C380" s="238"/>
      <c r="D380" s="10" t="s">
        <v>9</v>
      </c>
      <c r="E380" s="11" t="s">
        <v>5</v>
      </c>
      <c r="F380" s="10" t="s">
        <v>6</v>
      </c>
      <c r="G380" s="10" t="s">
        <v>7</v>
      </c>
      <c r="H380" s="10" t="s">
        <v>8</v>
      </c>
      <c r="I380" s="11" t="s">
        <v>19</v>
      </c>
      <c r="J380" s="20" t="s">
        <v>20</v>
      </c>
      <c r="K380" s="31" t="s">
        <v>179</v>
      </c>
      <c r="L380" s="214" t="s">
        <v>180</v>
      </c>
      <c r="M380" s="32" t="s">
        <v>275</v>
      </c>
    </row>
    <row r="381" spans="2:13">
      <c r="B381" s="241"/>
      <c r="C381" s="239"/>
      <c r="D381" s="176">
        <v>0</v>
      </c>
      <c r="E381" s="13">
        <v>0</v>
      </c>
      <c r="F381" s="13">
        <f t="shared" ref="F381" si="194">IF($D$2*D381&lt;=200,0.33,0.25)</f>
        <v>0.33</v>
      </c>
      <c r="G381" s="13">
        <f t="shared" ref="G381:G382" si="195">E381*F381</f>
        <v>0</v>
      </c>
      <c r="H381" s="14">
        <f t="shared" ref="H381:H382" si="196">IF(($D$2*D381)&gt;40,750,IF(AND(8&lt;=($D$2*D381),($D$2*D381)&lt;=40),850,1000))</f>
        <v>1000</v>
      </c>
      <c r="I381" s="14">
        <f t="shared" ref="I381:I382" si="197">(E381*F381*H381)</f>
        <v>0</v>
      </c>
      <c r="J381" s="21">
        <f>D381*I381</f>
        <v>0</v>
      </c>
      <c r="K381" s="178"/>
      <c r="L381" s="210"/>
      <c r="M381" s="268">
        <f>IFERROR((180/($D$2*D381)),0)</f>
        <v>0</v>
      </c>
    </row>
    <row r="382" spans="2:13" ht="17" thickBot="1">
      <c r="B382" s="242"/>
      <c r="C382" s="15"/>
      <c r="D382" s="179">
        <v>0</v>
      </c>
      <c r="E382" s="16"/>
      <c r="F382" s="208">
        <f t="shared" ref="F382" si="198">IF($D$2*D381&lt;=200,0.017,0.0085)</f>
        <v>1.7000000000000001E-2</v>
      </c>
      <c r="G382" s="17">
        <f t="shared" si="195"/>
        <v>0</v>
      </c>
      <c r="H382" s="180">
        <f t="shared" si="196"/>
        <v>1000</v>
      </c>
      <c r="I382" s="180">
        <f t="shared" si="197"/>
        <v>0</v>
      </c>
      <c r="J382" s="22">
        <f>D382*I382</f>
        <v>0</v>
      </c>
      <c r="K382" s="181">
        <f t="shared" ref="K382" si="199">G381*D381+G382*D382</f>
        <v>0</v>
      </c>
      <c r="L382" s="211">
        <f t="shared" ref="L382" si="200">J381+J382</f>
        <v>0</v>
      </c>
      <c r="M382" s="269"/>
    </row>
    <row r="383" spans="2:13" outlineLevel="1">
      <c r="B383" s="19"/>
      <c r="C383" s="19"/>
      <c r="D383" s="177"/>
      <c r="E383" s="19"/>
      <c r="F383" s="19"/>
      <c r="G383" s="19"/>
      <c r="H383" s="19"/>
      <c r="I383" s="19"/>
      <c r="J383" s="23"/>
      <c r="K383" s="29"/>
      <c r="L383" s="212"/>
      <c r="M383" s="25"/>
    </row>
    <row r="384" spans="2:13" outlineLevel="1">
      <c r="B384" s="18"/>
      <c r="C384" s="19"/>
      <c r="D384" s="177"/>
      <c r="E384" s="18"/>
      <c r="F384" s="18"/>
      <c r="G384" s="18"/>
      <c r="H384" s="18"/>
      <c r="I384" s="18"/>
      <c r="J384" s="24"/>
      <c r="K384" s="25"/>
      <c r="L384" s="99"/>
      <c r="M384" s="25"/>
    </row>
    <row r="385" spans="2:13" outlineLevel="1">
      <c r="B385" s="18"/>
      <c r="C385" s="19"/>
      <c r="D385" s="177"/>
      <c r="E385" s="18"/>
      <c r="F385" s="18"/>
      <c r="G385" s="18"/>
      <c r="H385" s="18"/>
      <c r="I385" s="18"/>
      <c r="J385" s="24"/>
      <c r="K385" s="25"/>
      <c r="L385" s="99"/>
      <c r="M385" s="25"/>
    </row>
    <row r="386" spans="2:13" outlineLevel="1">
      <c r="B386" s="18"/>
      <c r="C386" s="19"/>
      <c r="D386" s="177"/>
      <c r="E386" s="18"/>
      <c r="F386" s="18"/>
      <c r="G386" s="18"/>
      <c r="H386" s="18"/>
      <c r="I386" s="18"/>
      <c r="J386" s="24"/>
      <c r="K386" s="25"/>
      <c r="L386" s="99"/>
      <c r="M386" s="25"/>
    </row>
    <row r="387" spans="2:13" outlineLevel="1">
      <c r="B387" s="18"/>
      <c r="C387" s="19"/>
      <c r="D387" s="177"/>
      <c r="E387" s="18"/>
      <c r="F387" s="18"/>
      <c r="G387" s="18"/>
      <c r="H387" s="18"/>
      <c r="I387" s="18"/>
      <c r="J387" s="24"/>
      <c r="K387" s="25"/>
      <c r="L387" s="99"/>
      <c r="M387" s="25"/>
    </row>
    <row r="388" spans="2:13" ht="17" outlineLevel="1" thickBot="1">
      <c r="B388" s="26"/>
      <c r="C388" s="19"/>
      <c r="D388" s="177"/>
      <c r="E388" s="26"/>
      <c r="F388" s="26"/>
      <c r="G388" s="26"/>
      <c r="H388" s="26"/>
      <c r="I388" s="26"/>
      <c r="J388" s="27"/>
      <c r="K388" s="28"/>
      <c r="L388" s="213"/>
      <c r="M388" s="25"/>
    </row>
    <row r="389" spans="2:13" ht="84">
      <c r="B389" s="240">
        <v>30</v>
      </c>
      <c r="C389" s="238"/>
      <c r="D389" s="10" t="s">
        <v>9</v>
      </c>
      <c r="E389" s="11" t="s">
        <v>5</v>
      </c>
      <c r="F389" s="10" t="s">
        <v>6</v>
      </c>
      <c r="G389" s="10" t="s">
        <v>7</v>
      </c>
      <c r="H389" s="10" t="s">
        <v>8</v>
      </c>
      <c r="I389" s="11" t="s">
        <v>19</v>
      </c>
      <c r="J389" s="20" t="s">
        <v>20</v>
      </c>
      <c r="K389" s="31" t="s">
        <v>179</v>
      </c>
      <c r="L389" s="214" t="s">
        <v>180</v>
      </c>
      <c r="M389" s="32" t="s">
        <v>275</v>
      </c>
    </row>
    <row r="390" spans="2:13">
      <c r="B390" s="241"/>
      <c r="C390" s="239"/>
      <c r="D390" s="176">
        <v>0</v>
      </c>
      <c r="E390" s="13">
        <v>0</v>
      </c>
      <c r="F390" s="13">
        <f t="shared" ref="F390" si="201">IF($D$2*D390&lt;=200,0.33,0.25)</f>
        <v>0.33</v>
      </c>
      <c r="G390" s="13">
        <f t="shared" ref="G390:G391" si="202">E390*F390</f>
        <v>0</v>
      </c>
      <c r="H390" s="14">
        <f t="shared" ref="H390:H391" si="203">IF(($D$2*D390)&gt;40,750,IF(AND(8&lt;=($D$2*D390),($D$2*D390)&lt;=40),850,1000))</f>
        <v>1000</v>
      </c>
      <c r="I390" s="14">
        <f t="shared" ref="I390:I391" si="204">(E390*F390*H390)</f>
        <v>0</v>
      </c>
      <c r="J390" s="21">
        <f>D390*I390</f>
        <v>0</v>
      </c>
      <c r="K390" s="178"/>
      <c r="L390" s="210"/>
      <c r="M390" s="268">
        <f>IFERROR((180/($D$2*D390)),0)</f>
        <v>0</v>
      </c>
    </row>
    <row r="391" spans="2:13" ht="17" thickBot="1">
      <c r="B391" s="242"/>
      <c r="C391" s="15"/>
      <c r="D391" s="179">
        <v>0</v>
      </c>
      <c r="E391" s="16"/>
      <c r="F391" s="208">
        <f t="shared" ref="F391" si="205">IF($D$2*D390&lt;=200,0.017,0.0085)</f>
        <v>1.7000000000000001E-2</v>
      </c>
      <c r="G391" s="17">
        <f t="shared" si="202"/>
        <v>0</v>
      </c>
      <c r="H391" s="180">
        <f t="shared" si="203"/>
        <v>1000</v>
      </c>
      <c r="I391" s="180">
        <f t="shared" si="204"/>
        <v>0</v>
      </c>
      <c r="J391" s="22">
        <f>D391*I391</f>
        <v>0</v>
      </c>
      <c r="K391" s="181">
        <f t="shared" ref="K391" si="206">G390*D390+G391*D391</f>
        <v>0</v>
      </c>
      <c r="L391" s="211">
        <f t="shared" ref="L391" si="207">J390+J391</f>
        <v>0</v>
      </c>
      <c r="M391" s="269"/>
    </row>
    <row r="392" spans="2:13" outlineLevel="1">
      <c r="B392" s="19"/>
      <c r="C392" s="19"/>
      <c r="D392" s="177"/>
      <c r="E392" s="19"/>
      <c r="F392" s="19"/>
      <c r="G392" s="19"/>
      <c r="H392" s="19"/>
      <c r="I392" s="19"/>
      <c r="J392" s="23"/>
      <c r="K392" s="29"/>
      <c r="L392" s="212"/>
      <c r="M392" s="25"/>
    </row>
    <row r="393" spans="2:13" outlineLevel="1">
      <c r="B393" s="18"/>
      <c r="C393" s="19"/>
      <c r="D393" s="177"/>
      <c r="E393" s="18"/>
      <c r="F393" s="18"/>
      <c r="G393" s="18"/>
      <c r="H393" s="18"/>
      <c r="I393" s="18"/>
      <c r="J393" s="24"/>
      <c r="K393" s="25"/>
      <c r="L393" s="99"/>
      <c r="M393" s="25"/>
    </row>
    <row r="394" spans="2:13" outlineLevel="1">
      <c r="B394" s="18"/>
      <c r="C394" s="19"/>
      <c r="D394" s="177"/>
      <c r="E394" s="18"/>
      <c r="F394" s="18"/>
      <c r="G394" s="18"/>
      <c r="H394" s="18"/>
      <c r="I394" s="18"/>
      <c r="J394" s="24"/>
      <c r="K394" s="25"/>
      <c r="L394" s="99"/>
      <c r="M394" s="25"/>
    </row>
    <row r="395" spans="2:13" outlineLevel="1">
      <c r="B395" s="18"/>
      <c r="C395" s="19"/>
      <c r="D395" s="177"/>
      <c r="E395" s="18"/>
      <c r="F395" s="18"/>
      <c r="G395" s="18"/>
      <c r="H395" s="18"/>
      <c r="I395" s="18"/>
      <c r="J395" s="24"/>
      <c r="K395" s="25"/>
      <c r="L395" s="99"/>
      <c r="M395" s="25"/>
    </row>
    <row r="396" spans="2:13" outlineLevel="1">
      <c r="B396" s="18"/>
      <c r="C396" s="19"/>
      <c r="D396" s="177"/>
      <c r="E396" s="18"/>
      <c r="F396" s="18"/>
      <c r="G396" s="18"/>
      <c r="H396" s="18"/>
      <c r="I396" s="18"/>
      <c r="J396" s="24"/>
      <c r="K396" s="25"/>
      <c r="L396" s="99"/>
      <c r="M396" s="25"/>
    </row>
    <row r="397" spans="2:13" ht="17" outlineLevel="1" thickBot="1">
      <c r="B397" s="26"/>
      <c r="C397" s="19"/>
      <c r="D397" s="177"/>
      <c r="E397" s="26"/>
      <c r="F397" s="26"/>
      <c r="G397" s="26"/>
      <c r="H397" s="26"/>
      <c r="I397" s="26"/>
      <c r="J397" s="27"/>
      <c r="K397" s="28"/>
      <c r="L397" s="213"/>
      <c r="M397" s="25"/>
    </row>
    <row r="398" spans="2:13" ht="84">
      <c r="B398" s="240">
        <v>31</v>
      </c>
      <c r="C398" s="238"/>
      <c r="D398" s="10" t="s">
        <v>9</v>
      </c>
      <c r="E398" s="11" t="s">
        <v>5</v>
      </c>
      <c r="F398" s="10" t="s">
        <v>6</v>
      </c>
      <c r="G398" s="10" t="s">
        <v>7</v>
      </c>
      <c r="H398" s="10" t="s">
        <v>8</v>
      </c>
      <c r="I398" s="11" t="s">
        <v>19</v>
      </c>
      <c r="J398" s="20" t="s">
        <v>20</v>
      </c>
      <c r="K398" s="31" t="s">
        <v>179</v>
      </c>
      <c r="L398" s="214" t="s">
        <v>180</v>
      </c>
      <c r="M398" s="32" t="s">
        <v>275</v>
      </c>
    </row>
    <row r="399" spans="2:13">
      <c r="B399" s="241"/>
      <c r="C399" s="239"/>
      <c r="D399" s="176">
        <v>0</v>
      </c>
      <c r="E399" s="13">
        <v>0</v>
      </c>
      <c r="F399" s="13">
        <f t="shared" ref="F399" si="208">IF($D$2*D399&lt;=200,0.33,0.25)</f>
        <v>0.33</v>
      </c>
      <c r="G399" s="13">
        <f t="shared" ref="G399:G400" si="209">E399*F399</f>
        <v>0</v>
      </c>
      <c r="H399" s="14">
        <f t="shared" ref="H399:H400" si="210">IF(($D$2*D399)&gt;40,750,IF(AND(8&lt;=($D$2*D399),($D$2*D399)&lt;=40),850,1000))</f>
        <v>1000</v>
      </c>
      <c r="I399" s="14">
        <f t="shared" ref="I399:I400" si="211">(E399*F399*H399)</f>
        <v>0</v>
      </c>
      <c r="J399" s="21">
        <f>D399*I399</f>
        <v>0</v>
      </c>
      <c r="K399" s="178"/>
      <c r="L399" s="210"/>
      <c r="M399" s="268">
        <f>IFERROR((180/($D$2*D399)),0)</f>
        <v>0</v>
      </c>
    </row>
    <row r="400" spans="2:13" ht="17" thickBot="1">
      <c r="B400" s="242"/>
      <c r="C400" s="15"/>
      <c r="D400" s="179">
        <v>0</v>
      </c>
      <c r="E400" s="16"/>
      <c r="F400" s="208">
        <f t="shared" ref="F400" si="212">IF($D$2*D399&lt;=200,0.017,0.0085)</f>
        <v>1.7000000000000001E-2</v>
      </c>
      <c r="G400" s="17">
        <f t="shared" si="209"/>
        <v>0</v>
      </c>
      <c r="H400" s="180">
        <f t="shared" si="210"/>
        <v>1000</v>
      </c>
      <c r="I400" s="180">
        <f t="shared" si="211"/>
        <v>0</v>
      </c>
      <c r="J400" s="22">
        <f>D400*I400</f>
        <v>0</v>
      </c>
      <c r="K400" s="181">
        <f t="shared" ref="K400" si="213">G399*D399+G400*D400</f>
        <v>0</v>
      </c>
      <c r="L400" s="211">
        <f t="shared" ref="L400" si="214">J399+J400</f>
        <v>0</v>
      </c>
      <c r="M400" s="269"/>
    </row>
    <row r="401" spans="2:13" outlineLevel="1">
      <c r="B401" s="19"/>
      <c r="C401" s="19"/>
      <c r="D401" s="177"/>
      <c r="E401" s="19"/>
      <c r="F401" s="19"/>
      <c r="G401" s="19"/>
      <c r="H401" s="19"/>
      <c r="I401" s="19"/>
      <c r="J401" s="23"/>
      <c r="K401" s="29"/>
      <c r="L401" s="212"/>
      <c r="M401" s="25"/>
    </row>
    <row r="402" spans="2:13" outlineLevel="1">
      <c r="B402" s="18"/>
      <c r="C402" s="19"/>
      <c r="D402" s="177"/>
      <c r="E402" s="18"/>
      <c r="F402" s="18"/>
      <c r="G402" s="18"/>
      <c r="H402" s="18"/>
      <c r="I402" s="18"/>
      <c r="J402" s="24"/>
      <c r="K402" s="25"/>
      <c r="L402" s="99"/>
      <c r="M402" s="25"/>
    </row>
    <row r="403" spans="2:13" outlineLevel="1">
      <c r="B403" s="18"/>
      <c r="C403" s="19"/>
      <c r="D403" s="177"/>
      <c r="E403" s="18"/>
      <c r="F403" s="18"/>
      <c r="G403" s="18"/>
      <c r="H403" s="18"/>
      <c r="I403" s="18"/>
      <c r="J403" s="24"/>
      <c r="K403" s="25"/>
      <c r="L403" s="99"/>
      <c r="M403" s="25"/>
    </row>
    <row r="404" spans="2:13" outlineLevel="1">
      <c r="B404" s="18"/>
      <c r="C404" s="19"/>
      <c r="D404" s="177"/>
      <c r="E404" s="18"/>
      <c r="F404" s="18"/>
      <c r="G404" s="18"/>
      <c r="H404" s="18"/>
      <c r="I404" s="18"/>
      <c r="J404" s="24"/>
      <c r="K404" s="25"/>
      <c r="L404" s="99"/>
      <c r="M404" s="25"/>
    </row>
    <row r="405" spans="2:13" outlineLevel="1">
      <c r="B405" s="18"/>
      <c r="C405" s="19"/>
      <c r="D405" s="177"/>
      <c r="E405" s="18"/>
      <c r="F405" s="18"/>
      <c r="G405" s="18"/>
      <c r="H405" s="18"/>
      <c r="I405" s="18"/>
      <c r="J405" s="24"/>
      <c r="K405" s="25"/>
      <c r="L405" s="99"/>
      <c r="M405" s="25"/>
    </row>
    <row r="406" spans="2:13" ht="17" outlineLevel="1" thickBot="1">
      <c r="B406" s="26"/>
      <c r="C406" s="19"/>
      <c r="D406" s="177"/>
      <c r="E406" s="26"/>
      <c r="F406" s="26"/>
      <c r="G406" s="26"/>
      <c r="H406" s="26"/>
      <c r="I406" s="26"/>
      <c r="J406" s="27"/>
      <c r="K406" s="28"/>
      <c r="L406" s="213"/>
      <c r="M406" s="25"/>
    </row>
    <row r="407" spans="2:13" ht="84">
      <c r="B407" s="240">
        <v>32</v>
      </c>
      <c r="C407" s="238"/>
      <c r="D407" s="10" t="s">
        <v>9</v>
      </c>
      <c r="E407" s="11" t="s">
        <v>5</v>
      </c>
      <c r="F407" s="10" t="s">
        <v>6</v>
      </c>
      <c r="G407" s="10" t="s">
        <v>7</v>
      </c>
      <c r="H407" s="10" t="s">
        <v>8</v>
      </c>
      <c r="I407" s="11" t="s">
        <v>19</v>
      </c>
      <c r="J407" s="20" t="s">
        <v>20</v>
      </c>
      <c r="K407" s="31" t="s">
        <v>179</v>
      </c>
      <c r="L407" s="214" t="s">
        <v>180</v>
      </c>
      <c r="M407" s="32" t="s">
        <v>275</v>
      </c>
    </row>
    <row r="408" spans="2:13">
      <c r="B408" s="241"/>
      <c r="C408" s="239"/>
      <c r="D408" s="176">
        <v>0</v>
      </c>
      <c r="E408" s="13">
        <v>0</v>
      </c>
      <c r="F408" s="13">
        <f t="shared" ref="F408" si="215">IF($D$2*D408&lt;=200,0.33,0.25)</f>
        <v>0.33</v>
      </c>
      <c r="G408" s="13">
        <f t="shared" ref="G408:G409" si="216">E408*F408</f>
        <v>0</v>
      </c>
      <c r="H408" s="14">
        <f t="shared" ref="H408:H409" si="217">IF(($D$2*D408)&gt;40,750,IF(AND(8&lt;=($D$2*D408),($D$2*D408)&lt;=40),850,1000))</f>
        <v>1000</v>
      </c>
      <c r="I408" s="14">
        <f t="shared" ref="I408:I409" si="218">(E408*F408*H408)</f>
        <v>0</v>
      </c>
      <c r="J408" s="21">
        <f>D408*I408</f>
        <v>0</v>
      </c>
      <c r="K408" s="178"/>
      <c r="L408" s="210"/>
      <c r="M408" s="268">
        <f>IFERROR((180/($D$2*D408)),0)</f>
        <v>0</v>
      </c>
    </row>
    <row r="409" spans="2:13" ht="17" thickBot="1">
      <c r="B409" s="242"/>
      <c r="C409" s="15"/>
      <c r="D409" s="179">
        <v>0</v>
      </c>
      <c r="E409" s="16"/>
      <c r="F409" s="208">
        <f t="shared" ref="F409" si="219">IF($D$2*D408&lt;=200,0.017,0.0085)</f>
        <v>1.7000000000000001E-2</v>
      </c>
      <c r="G409" s="17">
        <f t="shared" si="216"/>
        <v>0</v>
      </c>
      <c r="H409" s="180">
        <f t="shared" si="217"/>
        <v>1000</v>
      </c>
      <c r="I409" s="180">
        <f t="shared" si="218"/>
        <v>0</v>
      </c>
      <c r="J409" s="22">
        <f>D409*I409</f>
        <v>0</v>
      </c>
      <c r="K409" s="181">
        <f t="shared" ref="K409" si="220">G408*D408+G409*D409</f>
        <v>0</v>
      </c>
      <c r="L409" s="211">
        <f t="shared" ref="L409" si="221">J408+J409</f>
        <v>0</v>
      </c>
      <c r="M409" s="269"/>
    </row>
    <row r="410" spans="2:13" outlineLevel="1">
      <c r="B410" s="19"/>
      <c r="C410" s="19"/>
      <c r="D410" s="177"/>
      <c r="E410" s="19"/>
      <c r="F410" s="19"/>
      <c r="G410" s="19"/>
      <c r="H410" s="19"/>
      <c r="I410" s="19"/>
      <c r="J410" s="23"/>
      <c r="K410" s="29"/>
      <c r="L410" s="29"/>
    </row>
    <row r="411" spans="2:13" outlineLevel="1">
      <c r="B411" s="18"/>
      <c r="C411" s="19"/>
      <c r="D411" s="177"/>
      <c r="E411" s="18"/>
      <c r="F411" s="18"/>
      <c r="G411" s="18"/>
      <c r="H411" s="18"/>
      <c r="I411" s="18"/>
      <c r="J411" s="24"/>
      <c r="K411" s="25"/>
      <c r="L411" s="25"/>
    </row>
    <row r="412" spans="2:13" outlineLevel="1">
      <c r="B412" s="18"/>
      <c r="C412" s="19"/>
      <c r="D412" s="177"/>
      <c r="E412" s="18"/>
      <c r="F412" s="18"/>
      <c r="G412" s="18"/>
      <c r="H412" s="18"/>
      <c r="I412" s="18"/>
      <c r="J412" s="24"/>
      <c r="K412" s="25"/>
      <c r="L412" s="25"/>
    </row>
    <row r="413" spans="2:13" outlineLevel="1">
      <c r="B413" s="18"/>
      <c r="C413" s="19"/>
      <c r="D413" s="177"/>
      <c r="E413" s="18"/>
      <c r="F413" s="18"/>
      <c r="G413" s="18"/>
      <c r="H413" s="18"/>
      <c r="I413" s="18"/>
      <c r="J413" s="24"/>
      <c r="K413" s="25"/>
      <c r="L413" s="25"/>
    </row>
    <row r="414" spans="2:13" outlineLevel="1">
      <c r="B414" s="18"/>
      <c r="C414" s="19"/>
      <c r="D414" s="177"/>
      <c r="E414" s="18"/>
      <c r="F414" s="18"/>
      <c r="G414" s="18"/>
      <c r="H414" s="18"/>
      <c r="I414" s="18"/>
      <c r="J414" s="24"/>
      <c r="K414" s="25"/>
      <c r="L414" s="25"/>
    </row>
    <row r="415" spans="2:13" outlineLevel="1">
      <c r="B415" s="26"/>
      <c r="C415" s="19"/>
      <c r="D415" s="177"/>
      <c r="E415" s="26"/>
      <c r="F415" s="26"/>
      <c r="G415" s="26"/>
      <c r="H415" s="26"/>
      <c r="I415" s="26"/>
      <c r="J415" s="27"/>
      <c r="K415" s="28"/>
      <c r="L415" s="28"/>
    </row>
    <row r="416" spans="2:13">
      <c r="F416"/>
      <c r="G416"/>
      <c r="H416"/>
      <c r="I416"/>
      <c r="J416"/>
      <c r="K416"/>
      <c r="L416"/>
    </row>
  </sheetData>
  <mergeCells count="125">
    <mergeCell ref="M399:M400"/>
    <mergeCell ref="M408:M409"/>
    <mergeCell ref="M354:M355"/>
    <mergeCell ref="M363:M364"/>
    <mergeCell ref="M372:M373"/>
    <mergeCell ref="M381:M382"/>
    <mergeCell ref="M390:M391"/>
    <mergeCell ref="M309:M310"/>
    <mergeCell ref="M318:M319"/>
    <mergeCell ref="M327:M328"/>
    <mergeCell ref="M336:M337"/>
    <mergeCell ref="M345:M346"/>
    <mergeCell ref="M264:M265"/>
    <mergeCell ref="M273:M274"/>
    <mergeCell ref="M282:M283"/>
    <mergeCell ref="M291:M292"/>
    <mergeCell ref="M300:M301"/>
    <mergeCell ref="M217:M218"/>
    <mergeCell ref="M226:M227"/>
    <mergeCell ref="M235:M236"/>
    <mergeCell ref="M244:M245"/>
    <mergeCell ref="M253:M254"/>
    <mergeCell ref="M167:M168"/>
    <mergeCell ref="M176:M177"/>
    <mergeCell ref="M185:M186"/>
    <mergeCell ref="M199:M200"/>
    <mergeCell ref="M208:M209"/>
    <mergeCell ref="M119:M120"/>
    <mergeCell ref="M128:M129"/>
    <mergeCell ref="M138:M139"/>
    <mergeCell ref="M149:M150"/>
    <mergeCell ref="M158:M159"/>
    <mergeCell ref="B13:H13"/>
    <mergeCell ref="B16:G16"/>
    <mergeCell ref="B48:K48"/>
    <mergeCell ref="B166:B168"/>
    <mergeCell ref="B198:B200"/>
    <mergeCell ref="C198:C199"/>
    <mergeCell ref="B115:L115"/>
    <mergeCell ref="D17:G17"/>
    <mergeCell ref="D18:G18"/>
    <mergeCell ref="D21:G21"/>
    <mergeCell ref="D22:G22"/>
    <mergeCell ref="D23:G23"/>
    <mergeCell ref="D25:G25"/>
    <mergeCell ref="D19:G19"/>
    <mergeCell ref="D24:G24"/>
    <mergeCell ref="C166:C167"/>
    <mergeCell ref="B26:G26"/>
    <mergeCell ref="E45:G45"/>
    <mergeCell ref="B1:C1"/>
    <mergeCell ref="B8:C8"/>
    <mergeCell ref="B10:H10"/>
    <mergeCell ref="B9:C9"/>
    <mergeCell ref="B2:C2"/>
    <mergeCell ref="E3:H3"/>
    <mergeCell ref="B3:D3"/>
    <mergeCell ref="B4:C4"/>
    <mergeCell ref="B5:C5"/>
    <mergeCell ref="B6:C6"/>
    <mergeCell ref="B7:C7"/>
    <mergeCell ref="E1:I2"/>
    <mergeCell ref="E4:G4"/>
    <mergeCell ref="B11:H11"/>
    <mergeCell ref="B407:B409"/>
    <mergeCell ref="C407:C408"/>
    <mergeCell ref="B362:B364"/>
    <mergeCell ref="C362:C363"/>
    <mergeCell ref="B371:B373"/>
    <mergeCell ref="C371:C372"/>
    <mergeCell ref="B380:B382"/>
    <mergeCell ref="C380:C381"/>
    <mergeCell ref="B389:B391"/>
    <mergeCell ref="C389:C390"/>
    <mergeCell ref="B398:B400"/>
    <mergeCell ref="C398:C399"/>
    <mergeCell ref="B344:B346"/>
    <mergeCell ref="C344:C345"/>
    <mergeCell ref="B353:B355"/>
    <mergeCell ref="C353:C354"/>
    <mergeCell ref="B308:B310"/>
    <mergeCell ref="C308:C309"/>
    <mergeCell ref="B317:B319"/>
    <mergeCell ref="C317:C318"/>
    <mergeCell ref="B326:B328"/>
    <mergeCell ref="C326:C327"/>
    <mergeCell ref="B335:B337"/>
    <mergeCell ref="C335:C336"/>
    <mergeCell ref="B281:B283"/>
    <mergeCell ref="C281:C282"/>
    <mergeCell ref="B290:B292"/>
    <mergeCell ref="C290:C291"/>
    <mergeCell ref="B299:B301"/>
    <mergeCell ref="C299:C300"/>
    <mergeCell ref="D20:G20"/>
    <mergeCell ref="B127:B129"/>
    <mergeCell ref="B216:B218"/>
    <mergeCell ref="C216:C217"/>
    <mergeCell ref="B252:B254"/>
    <mergeCell ref="C252:C253"/>
    <mergeCell ref="B225:B227"/>
    <mergeCell ref="C225:C226"/>
    <mergeCell ref="B234:B236"/>
    <mergeCell ref="C234:C235"/>
    <mergeCell ref="B243:B245"/>
    <mergeCell ref="C243:C244"/>
    <mergeCell ref="B207:B209"/>
    <mergeCell ref="C207:C208"/>
    <mergeCell ref="C118:C119"/>
    <mergeCell ref="C127:C128"/>
    <mergeCell ref="B263:B265"/>
    <mergeCell ref="C263:C264"/>
    <mergeCell ref="B272:B274"/>
    <mergeCell ref="C272:C273"/>
    <mergeCell ref="B137:B139"/>
    <mergeCell ref="C137:C138"/>
    <mergeCell ref="B118:B120"/>
    <mergeCell ref="B175:B177"/>
    <mergeCell ref="C175:C176"/>
    <mergeCell ref="B184:B186"/>
    <mergeCell ref="C184:C185"/>
    <mergeCell ref="B148:B150"/>
    <mergeCell ref="C148:C149"/>
    <mergeCell ref="B157:B159"/>
    <mergeCell ref="C157:C158"/>
  </mergeCells>
  <conditionalFormatting sqref="H17:H25">
    <cfRule type="cellIs" dxfId="12" priority="2" operator="equal">
      <formula>0</formula>
    </cfRule>
  </conditionalFormatting>
  <conditionalFormatting sqref="H27:H44">
    <cfRule type="cellIs" dxfId="11" priority="5" operator="equal">
      <formula>0</formula>
    </cfRule>
  </conditionalFormatting>
  <conditionalFormatting sqref="H51:H64">
    <cfRule type="cellIs" dxfId="10" priority="1" operator="equal">
      <formula>0</formula>
    </cfRule>
  </conditionalFormatting>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W158"/>
  <sheetViews>
    <sheetView topLeftCell="A4" workbookViewId="0">
      <selection activeCell="L16" sqref="L16"/>
    </sheetView>
  </sheetViews>
  <sheetFormatPr baseColWidth="10" defaultColWidth="8.75" defaultRowHeight="11"/>
  <cols>
    <col min="1" max="1" width="9.5" bestFit="1" customWidth="1"/>
    <col min="2" max="2" width="14.75" customWidth="1"/>
    <col min="3" max="3" width="14.25" customWidth="1"/>
    <col min="4" max="4" width="19.5" customWidth="1"/>
    <col min="5" max="5" width="12.75" customWidth="1"/>
    <col min="6" max="6" width="23.75" customWidth="1"/>
    <col min="7" max="7" width="15.75" customWidth="1"/>
    <col min="8" max="8" width="8.75" customWidth="1"/>
    <col min="9" max="9" width="16.5" customWidth="1"/>
  </cols>
  <sheetData>
    <row r="3" spans="1:23" ht="17" thickBot="1">
      <c r="A3" s="5" t="s">
        <v>15</v>
      </c>
      <c r="B3" s="271" t="s">
        <v>67</v>
      </c>
      <c r="C3" s="271"/>
      <c r="D3" s="271"/>
      <c r="E3" s="5"/>
      <c r="F3" s="5"/>
      <c r="G3" s="5"/>
      <c r="H3" s="5"/>
      <c r="I3" s="5"/>
    </row>
    <row r="4" spans="1:23" ht="16">
      <c r="A4" s="56">
        <v>1</v>
      </c>
      <c r="B4" s="270"/>
      <c r="C4" s="270"/>
      <c r="D4" s="270"/>
      <c r="E4" s="57"/>
      <c r="F4" s="57"/>
      <c r="G4" s="57"/>
      <c r="H4" s="57"/>
      <c r="I4" s="58"/>
    </row>
    <row r="5" spans="1:23" ht="16">
      <c r="A5" s="59"/>
      <c r="B5" s="5"/>
      <c r="C5" s="5"/>
      <c r="D5" s="5"/>
      <c r="E5" s="5"/>
      <c r="F5" s="5"/>
      <c r="G5" s="5"/>
      <c r="H5" s="5"/>
      <c r="I5" s="60"/>
    </row>
    <row r="6" spans="1:23" ht="16">
      <c r="A6" s="59"/>
      <c r="B6" s="61" t="s">
        <v>32</v>
      </c>
      <c r="C6" s="62"/>
      <c r="D6" s="62"/>
      <c r="E6" s="62"/>
      <c r="F6" s="63"/>
      <c r="G6" s="5"/>
      <c r="H6" s="5"/>
      <c r="I6" s="60"/>
    </row>
    <row r="7" spans="1:23" ht="16">
      <c r="A7" s="59"/>
      <c r="B7" s="64"/>
      <c r="C7" s="5"/>
      <c r="D7" s="5"/>
      <c r="E7" s="5"/>
      <c r="F7" s="65"/>
      <c r="G7" s="5"/>
      <c r="H7" s="5"/>
      <c r="I7" s="60"/>
    </row>
    <row r="8" spans="1:23" ht="51">
      <c r="A8" s="59"/>
      <c r="B8" s="66" t="s">
        <v>57</v>
      </c>
      <c r="C8" s="67" t="s">
        <v>19</v>
      </c>
      <c r="D8" s="67" t="s">
        <v>58</v>
      </c>
      <c r="E8" s="67" t="s">
        <v>59</v>
      </c>
      <c r="F8" s="67" t="s">
        <v>20</v>
      </c>
      <c r="G8" s="67" t="s">
        <v>60</v>
      </c>
      <c r="H8" s="67" t="s">
        <v>61</v>
      </c>
      <c r="I8" s="68" t="s">
        <v>62</v>
      </c>
      <c r="J8" s="80"/>
      <c r="W8" s="80"/>
    </row>
    <row r="9" spans="1:23" ht="16">
      <c r="A9" s="59"/>
      <c r="B9" s="4">
        <v>1.63</v>
      </c>
      <c r="C9" s="69">
        <v>78</v>
      </c>
      <c r="D9" s="4">
        <v>1.01</v>
      </c>
      <c r="E9" s="4">
        <v>1.03</v>
      </c>
      <c r="F9" s="70">
        <f>B9*C9*D9*E9</f>
        <v>132.26374199999998</v>
      </c>
      <c r="G9" s="5"/>
      <c r="H9" s="5"/>
      <c r="I9" s="60"/>
      <c r="J9" s="80">
        <f>F9*H19</f>
        <v>132.26374199999998</v>
      </c>
    </row>
    <row r="10" spans="1:23" ht="16">
      <c r="A10" s="59"/>
      <c r="B10" s="64"/>
      <c r="C10" s="5"/>
      <c r="D10" s="5"/>
      <c r="E10" s="5"/>
      <c r="F10" s="65"/>
      <c r="G10" s="5"/>
      <c r="H10" s="5"/>
      <c r="I10" s="60"/>
    </row>
    <row r="11" spans="1:23" ht="16">
      <c r="A11" s="59"/>
      <c r="B11" s="71" t="s">
        <v>63</v>
      </c>
      <c r="C11" s="72"/>
      <c r="D11" s="72"/>
      <c r="E11" s="72"/>
      <c r="F11" s="73"/>
      <c r="G11" s="5"/>
      <c r="H11" s="5"/>
      <c r="I11" s="60"/>
    </row>
    <row r="12" spans="1:23" ht="16">
      <c r="A12" s="59"/>
      <c r="B12" s="64"/>
      <c r="C12" s="5"/>
      <c r="D12" s="5"/>
      <c r="E12" s="5"/>
      <c r="F12" s="65"/>
      <c r="G12" s="5"/>
      <c r="H12" s="5"/>
      <c r="I12" s="60"/>
    </row>
    <row r="13" spans="1:23" ht="34">
      <c r="A13" s="59"/>
      <c r="B13" s="104" t="s">
        <v>113</v>
      </c>
      <c r="C13" s="104" t="s">
        <v>114</v>
      </c>
      <c r="D13" s="104" t="s">
        <v>115</v>
      </c>
      <c r="E13" s="67" t="s">
        <v>64</v>
      </c>
      <c r="F13" s="67" t="s">
        <v>20</v>
      </c>
      <c r="G13" s="5"/>
      <c r="H13" s="5"/>
      <c r="I13" s="60"/>
    </row>
    <row r="14" spans="1:23" ht="16">
      <c r="A14" s="59"/>
      <c r="B14" s="105">
        <v>1.2</v>
      </c>
      <c r="C14" s="105">
        <v>0.6</v>
      </c>
      <c r="D14" s="105">
        <f>B14*C14</f>
        <v>0.72</v>
      </c>
      <c r="E14" s="69">
        <v>50</v>
      </c>
      <c r="F14" s="70">
        <f>D14*E14</f>
        <v>36</v>
      </c>
      <c r="G14" s="5"/>
      <c r="H14" s="5"/>
      <c r="I14" s="60"/>
    </row>
    <row r="15" spans="1:23" ht="16">
      <c r="A15" s="59"/>
      <c r="B15" s="64"/>
      <c r="C15" s="5"/>
      <c r="D15" s="5"/>
      <c r="E15" s="5"/>
      <c r="F15" s="65"/>
      <c r="G15" s="5"/>
      <c r="H15" s="5"/>
      <c r="I15" s="60"/>
    </row>
    <row r="16" spans="1:23" ht="16">
      <c r="A16" s="59"/>
      <c r="B16" s="71" t="s">
        <v>65</v>
      </c>
      <c r="C16" s="72"/>
      <c r="D16" s="72"/>
      <c r="E16" s="72"/>
      <c r="F16" s="73"/>
      <c r="G16" s="5"/>
      <c r="H16" s="5"/>
      <c r="I16" s="60"/>
    </row>
    <row r="17" spans="1:11" ht="16">
      <c r="A17" s="59"/>
      <c r="B17" s="64"/>
      <c r="C17" s="5"/>
      <c r="D17" s="5"/>
      <c r="E17" s="5"/>
      <c r="F17" s="65"/>
      <c r="G17" s="5"/>
      <c r="H17" s="5"/>
      <c r="I17" s="60"/>
    </row>
    <row r="18" spans="1:11" ht="35" thickBot="1">
      <c r="A18" s="59"/>
      <c r="B18" s="4" t="s">
        <v>66</v>
      </c>
      <c r="C18" s="67" t="s">
        <v>64</v>
      </c>
      <c r="D18" s="67" t="s">
        <v>20</v>
      </c>
      <c r="E18" s="5"/>
      <c r="F18" s="65"/>
      <c r="G18" s="5"/>
      <c r="H18" s="5"/>
      <c r="I18" s="60"/>
    </row>
    <row r="19" spans="1:11" ht="17" thickBot="1">
      <c r="A19" s="74"/>
      <c r="B19" s="75">
        <f>(B14+C14)*2</f>
        <v>3.5999999999999996</v>
      </c>
      <c r="C19" s="75">
        <v>5</v>
      </c>
      <c r="D19" s="76">
        <f>B19*C19</f>
        <v>18</v>
      </c>
      <c r="E19" s="77"/>
      <c r="F19" s="77"/>
      <c r="G19" s="78">
        <f>F9+F14+D19</f>
        <v>186.26374199999998</v>
      </c>
      <c r="H19" s="77">
        <v>1</v>
      </c>
      <c r="I19" s="79">
        <f>G19*H19</f>
        <v>186.26374199999998</v>
      </c>
    </row>
    <row r="20" spans="1:11" ht="17" thickBot="1">
      <c r="A20" s="5"/>
      <c r="B20" s="5"/>
      <c r="C20" s="5"/>
      <c r="D20" s="5"/>
      <c r="E20" s="5"/>
      <c r="F20" s="5"/>
      <c r="G20" s="5"/>
      <c r="H20" s="5"/>
      <c r="I20" s="5"/>
    </row>
    <row r="21" spans="1:11" ht="16">
      <c r="A21" s="56">
        <v>2</v>
      </c>
      <c r="B21" s="270"/>
      <c r="C21" s="270"/>
      <c r="D21" s="270"/>
      <c r="E21" s="57"/>
      <c r="F21" s="57"/>
      <c r="G21" s="57"/>
      <c r="H21" s="57"/>
      <c r="I21" s="58"/>
    </row>
    <row r="22" spans="1:11" ht="16">
      <c r="A22" s="59"/>
      <c r="B22" s="5"/>
      <c r="C22" s="5"/>
      <c r="D22" s="5"/>
      <c r="E22" s="5"/>
      <c r="F22" s="5"/>
      <c r="G22" s="5"/>
      <c r="H22" s="5"/>
      <c r="I22" s="60"/>
    </row>
    <row r="23" spans="1:11" ht="16">
      <c r="A23" s="59"/>
      <c r="B23" s="61" t="s">
        <v>32</v>
      </c>
      <c r="C23" s="62"/>
      <c r="D23" s="62"/>
      <c r="E23" s="62"/>
      <c r="F23" s="63"/>
      <c r="G23" s="5"/>
      <c r="H23" s="5"/>
      <c r="I23" s="60"/>
    </row>
    <row r="24" spans="1:11" ht="16">
      <c r="A24" s="59"/>
      <c r="B24" s="64"/>
      <c r="C24" s="5"/>
      <c r="D24" s="5"/>
      <c r="E24" s="5"/>
      <c r="F24" s="65"/>
      <c r="G24" s="5"/>
      <c r="H24" s="5"/>
      <c r="I24" s="60"/>
    </row>
    <row r="25" spans="1:11" ht="51">
      <c r="A25" s="59"/>
      <c r="B25" s="66" t="s">
        <v>57</v>
      </c>
      <c r="C25" s="67" t="s">
        <v>19</v>
      </c>
      <c r="D25" s="67" t="s">
        <v>58</v>
      </c>
      <c r="E25" s="67" t="s">
        <v>59</v>
      </c>
      <c r="F25" s="67" t="s">
        <v>20</v>
      </c>
      <c r="G25" s="67" t="s">
        <v>60</v>
      </c>
      <c r="H25" s="67" t="s">
        <v>61</v>
      </c>
      <c r="I25" s="68" t="s">
        <v>62</v>
      </c>
    </row>
    <row r="26" spans="1:11" ht="16">
      <c r="A26" s="59"/>
      <c r="B26" s="4">
        <v>0.37</v>
      </c>
      <c r="C26" s="69">
        <v>78</v>
      </c>
      <c r="D26" s="4">
        <v>1.01</v>
      </c>
      <c r="E26" s="4">
        <v>1.03</v>
      </c>
      <c r="F26" s="70">
        <f>B26*C26*D26*E26</f>
        <v>30.023057999999999</v>
      </c>
      <c r="G26" s="5"/>
      <c r="H26" s="5"/>
      <c r="I26" s="60"/>
      <c r="J26" s="80">
        <f>F26*H36</f>
        <v>60.046115999999998</v>
      </c>
      <c r="K26">
        <f>B26*H36</f>
        <v>0.74</v>
      </c>
    </row>
    <row r="27" spans="1:11" ht="16">
      <c r="A27" s="59"/>
      <c r="B27" s="64"/>
      <c r="C27" s="5"/>
      <c r="D27" s="5"/>
      <c r="E27" s="5"/>
      <c r="F27" s="65"/>
      <c r="G27" s="5"/>
      <c r="H27" s="5"/>
      <c r="I27" s="60"/>
    </row>
    <row r="28" spans="1:11" ht="16">
      <c r="A28" s="59"/>
      <c r="B28" s="71" t="s">
        <v>63</v>
      </c>
      <c r="C28" s="72"/>
      <c r="D28" s="72"/>
      <c r="E28" s="72"/>
      <c r="F28" s="73"/>
      <c r="G28" s="5"/>
      <c r="H28" s="5"/>
      <c r="I28" s="60"/>
    </row>
    <row r="29" spans="1:11" ht="16">
      <c r="A29" s="59"/>
      <c r="B29" s="64"/>
      <c r="C29" s="5"/>
      <c r="D29" s="5"/>
      <c r="E29" s="5"/>
      <c r="F29" s="65"/>
      <c r="G29" s="5"/>
      <c r="H29" s="5"/>
      <c r="I29" s="60"/>
    </row>
    <row r="30" spans="1:11" ht="34">
      <c r="A30" s="59"/>
      <c r="B30" s="104" t="s">
        <v>113</v>
      </c>
      <c r="C30" s="104" t="s">
        <v>114</v>
      </c>
      <c r="D30" s="104" t="s">
        <v>115</v>
      </c>
      <c r="E30" s="67" t="s">
        <v>64</v>
      </c>
      <c r="F30" s="67" t="s">
        <v>20</v>
      </c>
      <c r="G30" s="5"/>
      <c r="H30" s="5"/>
      <c r="I30" s="60"/>
    </row>
    <row r="31" spans="1:11" ht="16">
      <c r="A31" s="59"/>
      <c r="B31" s="105">
        <v>0.6</v>
      </c>
      <c r="C31" s="105">
        <v>0.25</v>
      </c>
      <c r="D31" s="105">
        <f>B31*C31</f>
        <v>0.15</v>
      </c>
      <c r="E31" s="69">
        <v>50</v>
      </c>
      <c r="F31" s="70">
        <f>D31*E31</f>
        <v>7.5</v>
      </c>
      <c r="G31" s="5"/>
      <c r="H31" s="5"/>
      <c r="I31" s="60"/>
    </row>
    <row r="32" spans="1:11" ht="16">
      <c r="A32" s="59"/>
      <c r="B32" s="64"/>
      <c r="C32" s="5"/>
      <c r="D32" s="5"/>
      <c r="E32" s="5"/>
      <c r="F32" s="65"/>
      <c r="G32" s="5"/>
      <c r="H32" s="5"/>
      <c r="I32" s="60"/>
    </row>
    <row r="33" spans="1:11" ht="16">
      <c r="A33" s="59"/>
      <c r="B33" s="71" t="s">
        <v>65</v>
      </c>
      <c r="C33" s="72"/>
      <c r="D33" s="72"/>
      <c r="E33" s="72"/>
      <c r="F33" s="73"/>
      <c r="G33" s="5"/>
      <c r="H33" s="5"/>
      <c r="I33" s="60"/>
    </row>
    <row r="34" spans="1:11" ht="16">
      <c r="A34" s="59"/>
      <c r="B34" s="64"/>
      <c r="C34" s="5"/>
      <c r="D34" s="5"/>
      <c r="E34" s="5"/>
      <c r="F34" s="65"/>
      <c r="G34" s="5"/>
      <c r="H34" s="5"/>
      <c r="I34" s="60"/>
    </row>
    <row r="35" spans="1:11" ht="35" thickBot="1">
      <c r="A35" s="59"/>
      <c r="B35" s="4" t="s">
        <v>66</v>
      </c>
      <c r="C35" s="67" t="s">
        <v>64</v>
      </c>
      <c r="D35" s="67" t="s">
        <v>20</v>
      </c>
      <c r="E35" s="5"/>
      <c r="F35" s="65"/>
      <c r="G35" s="5"/>
      <c r="H35" s="5"/>
      <c r="I35" s="60"/>
    </row>
    <row r="36" spans="1:11" ht="17" thickBot="1">
      <c r="A36" s="74"/>
      <c r="B36" s="75">
        <f>(B31+C31)*2</f>
        <v>1.7</v>
      </c>
      <c r="C36" s="75">
        <v>5</v>
      </c>
      <c r="D36" s="76">
        <f>B36*C36</f>
        <v>8.5</v>
      </c>
      <c r="E36" s="77"/>
      <c r="F36" s="77"/>
      <c r="G36" s="78">
        <f>F26+F31+D36</f>
        <v>46.023057999999999</v>
      </c>
      <c r="H36" s="77">
        <v>2</v>
      </c>
      <c r="I36" s="79">
        <f>G36*H36</f>
        <v>92.046115999999998</v>
      </c>
    </row>
    <row r="37" spans="1:11" ht="17" thickBot="1">
      <c r="A37" s="5"/>
      <c r="B37" s="5"/>
      <c r="C37" s="5"/>
      <c r="D37" s="5"/>
      <c r="E37" s="5"/>
      <c r="F37" s="5"/>
      <c r="G37" s="5"/>
      <c r="H37" s="5"/>
      <c r="I37" s="5"/>
    </row>
    <row r="38" spans="1:11" ht="16">
      <c r="A38" s="56">
        <v>3</v>
      </c>
      <c r="B38" s="270"/>
      <c r="C38" s="270"/>
      <c r="D38" s="270"/>
      <c r="E38" s="57"/>
      <c r="F38" s="57"/>
      <c r="G38" s="57"/>
      <c r="H38" s="57"/>
      <c r="I38" s="58"/>
    </row>
    <row r="39" spans="1:11" ht="16">
      <c r="A39" s="59"/>
      <c r="B39" s="5"/>
      <c r="C39" s="5"/>
      <c r="D39" s="5"/>
      <c r="E39" s="5"/>
      <c r="F39" s="5"/>
      <c r="G39" s="5"/>
      <c r="H39" s="5"/>
      <c r="I39" s="60"/>
    </row>
    <row r="40" spans="1:11" ht="16">
      <c r="A40" s="59"/>
      <c r="B40" s="61" t="s">
        <v>32</v>
      </c>
      <c r="C40" s="62"/>
      <c r="D40" s="62"/>
      <c r="E40" s="62"/>
      <c r="F40" s="63"/>
      <c r="G40" s="5"/>
      <c r="H40" s="5"/>
      <c r="I40" s="60"/>
    </row>
    <row r="41" spans="1:11" ht="16">
      <c r="A41" s="59"/>
      <c r="B41" s="64"/>
      <c r="C41" s="5"/>
      <c r="D41" s="5"/>
      <c r="E41" s="5"/>
      <c r="F41" s="65"/>
      <c r="G41" s="5"/>
      <c r="H41" s="5"/>
      <c r="I41" s="60"/>
    </row>
    <row r="42" spans="1:11" ht="51">
      <c r="A42" s="59"/>
      <c r="B42" s="66" t="s">
        <v>57</v>
      </c>
      <c r="C42" s="67" t="s">
        <v>19</v>
      </c>
      <c r="D42" s="67" t="s">
        <v>58</v>
      </c>
      <c r="E42" s="67" t="s">
        <v>59</v>
      </c>
      <c r="F42" s="67" t="s">
        <v>20</v>
      </c>
      <c r="G42" s="67" t="s">
        <v>60</v>
      </c>
      <c r="H42" s="67" t="s">
        <v>61</v>
      </c>
      <c r="I42" s="68" t="s">
        <v>62</v>
      </c>
    </row>
    <row r="43" spans="1:11" ht="16">
      <c r="A43" s="59"/>
      <c r="B43" s="4">
        <v>1.8</v>
      </c>
      <c r="C43" s="69">
        <v>78</v>
      </c>
      <c r="D43" s="4">
        <v>1.01</v>
      </c>
      <c r="E43" s="4">
        <v>1.03</v>
      </c>
      <c r="F43" s="70">
        <f>B43*C43*D43*E43</f>
        <v>146.05812</v>
      </c>
      <c r="G43" s="5"/>
      <c r="H43" s="5"/>
      <c r="I43" s="60"/>
      <c r="J43" s="80">
        <f>F43*H53</f>
        <v>146.05812</v>
      </c>
      <c r="K43">
        <f>B43*H53</f>
        <v>1.8</v>
      </c>
    </row>
    <row r="44" spans="1:11" ht="16">
      <c r="A44" s="59"/>
      <c r="B44" s="64"/>
      <c r="C44" s="5"/>
      <c r="D44" s="5"/>
      <c r="E44" s="5"/>
      <c r="F44" s="65"/>
      <c r="G44" s="5"/>
      <c r="H44" s="5"/>
      <c r="I44" s="60"/>
    </row>
    <row r="45" spans="1:11" ht="16">
      <c r="A45" s="59"/>
      <c r="B45" s="71" t="s">
        <v>63</v>
      </c>
      <c r="C45" s="72"/>
      <c r="D45" s="72"/>
      <c r="E45" s="72"/>
      <c r="F45" s="73"/>
      <c r="G45" s="5"/>
      <c r="H45" s="5"/>
      <c r="I45" s="60"/>
    </row>
    <row r="46" spans="1:11" ht="16">
      <c r="A46" s="59"/>
      <c r="B46" s="64"/>
      <c r="C46" s="5"/>
      <c r="D46" s="5"/>
      <c r="E46" s="5"/>
      <c r="F46" s="65"/>
      <c r="G46" s="5"/>
      <c r="H46" s="5"/>
      <c r="I46" s="60"/>
    </row>
    <row r="47" spans="1:11" ht="34">
      <c r="A47" s="59"/>
      <c r="B47" s="104" t="s">
        <v>113</v>
      </c>
      <c r="C47" s="104" t="s">
        <v>114</v>
      </c>
      <c r="D47" s="104" t="s">
        <v>115</v>
      </c>
      <c r="E47" s="67" t="s">
        <v>64</v>
      </c>
      <c r="F47" s="67" t="s">
        <v>20</v>
      </c>
      <c r="G47" s="5"/>
      <c r="H47" s="5"/>
      <c r="I47" s="60"/>
    </row>
    <row r="48" spans="1:11" ht="16">
      <c r="A48" s="59"/>
      <c r="B48" s="105">
        <v>0.74099999999999999</v>
      </c>
      <c r="C48" s="105">
        <v>1.091</v>
      </c>
      <c r="D48" s="105">
        <f>B48*C48</f>
        <v>0.80843100000000001</v>
      </c>
      <c r="E48" s="69">
        <v>50</v>
      </c>
      <c r="F48" s="70">
        <f>D48*E48</f>
        <v>40.421550000000003</v>
      </c>
      <c r="G48" s="5"/>
      <c r="H48" s="5"/>
      <c r="I48" s="60"/>
    </row>
    <row r="49" spans="1:11" ht="16">
      <c r="A49" s="59"/>
      <c r="B49" s="64"/>
      <c r="C49" s="5"/>
      <c r="D49" s="5"/>
      <c r="E49" s="5"/>
      <c r="F49" s="65"/>
      <c r="G49" s="5"/>
      <c r="H49" s="5"/>
      <c r="I49" s="60"/>
    </row>
    <row r="50" spans="1:11" ht="16">
      <c r="A50" s="59"/>
      <c r="B50" s="71" t="s">
        <v>65</v>
      </c>
      <c r="C50" s="72"/>
      <c r="D50" s="72"/>
      <c r="E50" s="72"/>
      <c r="F50" s="73"/>
      <c r="G50" s="5"/>
      <c r="H50" s="5"/>
      <c r="I50" s="60"/>
    </row>
    <row r="51" spans="1:11" ht="16">
      <c r="A51" s="59"/>
      <c r="B51" s="64"/>
      <c r="C51" s="5"/>
      <c r="D51" s="5"/>
      <c r="E51" s="5"/>
      <c r="F51" s="65"/>
      <c r="G51" s="5"/>
      <c r="H51" s="5"/>
      <c r="I51" s="60"/>
    </row>
    <row r="52" spans="1:11" ht="35" thickBot="1">
      <c r="A52" s="59"/>
      <c r="B52" s="4" t="s">
        <v>66</v>
      </c>
      <c r="C52" s="67" t="s">
        <v>64</v>
      </c>
      <c r="D52" s="67" t="s">
        <v>20</v>
      </c>
      <c r="E52" s="5"/>
      <c r="F52" s="65"/>
      <c r="G52" s="5"/>
      <c r="H52" s="5"/>
      <c r="I52" s="60"/>
    </row>
    <row r="53" spans="1:11" ht="17" thickBot="1">
      <c r="A53" s="74"/>
      <c r="B53" s="75">
        <f>(B48+C48)*2</f>
        <v>3.6639999999999997</v>
      </c>
      <c r="C53" s="75">
        <v>5</v>
      </c>
      <c r="D53" s="76">
        <f>B53*C53</f>
        <v>18.32</v>
      </c>
      <c r="E53" s="77"/>
      <c r="F53" s="77"/>
      <c r="G53" s="78">
        <f>F43+F48+D53</f>
        <v>204.79966999999999</v>
      </c>
      <c r="H53" s="77">
        <v>1</v>
      </c>
      <c r="I53" s="79">
        <f>G53*H53</f>
        <v>204.79966999999999</v>
      </c>
    </row>
    <row r="54" spans="1:11" ht="17" thickBot="1">
      <c r="A54" s="5"/>
      <c r="B54" s="5"/>
      <c r="C54" s="5"/>
      <c r="D54" s="5"/>
      <c r="E54" s="5"/>
      <c r="F54" s="5"/>
      <c r="G54" s="5"/>
      <c r="H54" s="5"/>
      <c r="I54" s="5"/>
    </row>
    <row r="55" spans="1:11" ht="16">
      <c r="A55" s="56">
        <v>4</v>
      </c>
      <c r="B55" s="270"/>
      <c r="C55" s="270"/>
      <c r="D55" s="270"/>
      <c r="E55" s="57"/>
      <c r="F55" s="57"/>
      <c r="G55" s="57"/>
      <c r="H55" s="57"/>
      <c r="I55" s="58"/>
    </row>
    <row r="56" spans="1:11" ht="16">
      <c r="A56" s="59"/>
      <c r="B56" s="5"/>
      <c r="C56" s="5"/>
      <c r="D56" s="5"/>
      <c r="E56" s="5"/>
      <c r="F56" s="5"/>
      <c r="G56" s="5"/>
      <c r="H56" s="5"/>
      <c r="I56" s="60"/>
    </row>
    <row r="57" spans="1:11" ht="16">
      <c r="A57" s="59"/>
      <c r="B57" s="61" t="s">
        <v>32</v>
      </c>
      <c r="C57" s="62"/>
      <c r="D57" s="62"/>
      <c r="E57" s="62"/>
      <c r="F57" s="63"/>
      <c r="G57" s="5"/>
      <c r="H57" s="5"/>
      <c r="I57" s="60"/>
    </row>
    <row r="58" spans="1:11" ht="16">
      <c r="A58" s="59"/>
      <c r="B58" s="64"/>
      <c r="C58" s="5"/>
      <c r="D58" s="5"/>
      <c r="E58" s="5"/>
      <c r="F58" s="65"/>
      <c r="G58" s="5"/>
      <c r="H58" s="5"/>
      <c r="I58" s="60"/>
    </row>
    <row r="59" spans="1:11" ht="51">
      <c r="A59" s="59"/>
      <c r="B59" s="66" t="s">
        <v>57</v>
      </c>
      <c r="C59" s="67" t="s">
        <v>19</v>
      </c>
      <c r="D59" s="67" t="s">
        <v>58</v>
      </c>
      <c r="E59" s="67" t="s">
        <v>59</v>
      </c>
      <c r="F59" s="67" t="s">
        <v>20</v>
      </c>
      <c r="G59" s="67" t="s">
        <v>60</v>
      </c>
      <c r="H59" s="67" t="s">
        <v>61</v>
      </c>
      <c r="I59" s="68" t="s">
        <v>62</v>
      </c>
    </row>
    <row r="60" spans="1:11" ht="16">
      <c r="A60" s="59"/>
      <c r="B60" s="4">
        <v>0</v>
      </c>
      <c r="C60" s="69">
        <v>60</v>
      </c>
      <c r="D60" s="4">
        <v>1.01</v>
      </c>
      <c r="E60" s="4">
        <v>1.03</v>
      </c>
      <c r="F60" s="70">
        <f>B60*C60*D60*E60</f>
        <v>0</v>
      </c>
      <c r="G60" s="5"/>
      <c r="H60" s="5"/>
      <c r="I60" s="60"/>
      <c r="J60" s="80">
        <f>F60*H70</f>
        <v>0</v>
      </c>
      <c r="K60">
        <f>B60*H70</f>
        <v>0</v>
      </c>
    </row>
    <row r="61" spans="1:11" ht="16">
      <c r="A61" s="59"/>
      <c r="B61" s="64"/>
      <c r="C61" s="5"/>
      <c r="D61" s="5"/>
      <c r="E61" s="5"/>
      <c r="F61" s="65"/>
      <c r="G61" s="5"/>
      <c r="H61" s="5"/>
      <c r="I61" s="60"/>
    </row>
    <row r="62" spans="1:11" ht="16">
      <c r="A62" s="59"/>
      <c r="B62" s="71" t="s">
        <v>63</v>
      </c>
      <c r="C62" s="72"/>
      <c r="D62" s="72"/>
      <c r="E62" s="72"/>
      <c r="F62" s="73"/>
      <c r="G62" s="5"/>
      <c r="H62" s="5"/>
      <c r="I62" s="60"/>
    </row>
    <row r="63" spans="1:11" ht="16">
      <c r="A63" s="59"/>
      <c r="B63" s="64"/>
      <c r="C63" s="5"/>
      <c r="D63" s="5"/>
      <c r="E63" s="5"/>
      <c r="F63" s="65"/>
      <c r="G63" s="5"/>
      <c r="H63" s="5"/>
      <c r="I63" s="60"/>
    </row>
    <row r="64" spans="1:11" ht="34">
      <c r="A64" s="59"/>
      <c r="B64" s="104" t="s">
        <v>113</v>
      </c>
      <c r="C64" s="104" t="s">
        <v>114</v>
      </c>
      <c r="D64" s="104" t="s">
        <v>115</v>
      </c>
      <c r="E64" s="67" t="s">
        <v>64</v>
      </c>
      <c r="F64" s="67" t="s">
        <v>20</v>
      </c>
      <c r="G64" s="5"/>
      <c r="H64" s="5"/>
      <c r="I64" s="60"/>
    </row>
    <row r="65" spans="1:11" ht="16">
      <c r="A65" s="59"/>
      <c r="B65" s="105">
        <v>0</v>
      </c>
      <c r="C65" s="105">
        <v>0</v>
      </c>
      <c r="D65" s="105">
        <f>B65*C65</f>
        <v>0</v>
      </c>
      <c r="E65" s="69">
        <v>50</v>
      </c>
      <c r="F65" s="70">
        <f>D65*E65</f>
        <v>0</v>
      </c>
      <c r="G65" s="5"/>
      <c r="H65" s="5"/>
      <c r="I65" s="60"/>
    </row>
    <row r="66" spans="1:11" ht="16">
      <c r="A66" s="59"/>
      <c r="B66" s="64"/>
      <c r="C66" s="5"/>
      <c r="D66" s="5"/>
      <c r="E66" s="5"/>
      <c r="F66" s="65"/>
      <c r="G66" s="5"/>
      <c r="H66" s="5"/>
      <c r="I66" s="60"/>
    </row>
    <row r="67" spans="1:11" ht="16">
      <c r="A67" s="59"/>
      <c r="B67" s="71" t="s">
        <v>65</v>
      </c>
      <c r="C67" s="72"/>
      <c r="D67" s="72"/>
      <c r="E67" s="72"/>
      <c r="F67" s="73"/>
      <c r="G67" s="5"/>
      <c r="H67" s="5"/>
      <c r="I67" s="60"/>
    </row>
    <row r="68" spans="1:11" ht="16">
      <c r="A68" s="59"/>
      <c r="B68" s="64"/>
      <c r="C68" s="5"/>
      <c r="D68" s="5"/>
      <c r="E68" s="5"/>
      <c r="F68" s="65"/>
      <c r="G68" s="5"/>
      <c r="H68" s="5"/>
      <c r="I68" s="60"/>
    </row>
    <row r="69" spans="1:11" ht="35" thickBot="1">
      <c r="A69" s="59"/>
      <c r="B69" s="4" t="s">
        <v>66</v>
      </c>
      <c r="C69" s="67" t="s">
        <v>64</v>
      </c>
      <c r="D69" s="67" t="s">
        <v>20</v>
      </c>
      <c r="E69" s="5"/>
      <c r="F69" s="65"/>
      <c r="G69" s="5"/>
      <c r="H69" s="5"/>
      <c r="I69" s="60"/>
    </row>
    <row r="70" spans="1:11" ht="17" thickBot="1">
      <c r="A70" s="74"/>
      <c r="B70" s="75">
        <f>(B65+C65)*2</f>
        <v>0</v>
      </c>
      <c r="C70" s="75">
        <v>5</v>
      </c>
      <c r="D70" s="76">
        <f>B70*C70</f>
        <v>0</v>
      </c>
      <c r="E70" s="77"/>
      <c r="F70" s="77"/>
      <c r="G70" s="78">
        <f>F60+F65+D70</f>
        <v>0</v>
      </c>
      <c r="H70" s="77">
        <v>1</v>
      </c>
      <c r="I70" s="79">
        <f>G70*H70</f>
        <v>0</v>
      </c>
    </row>
    <row r="71" spans="1:11" ht="12" thickBot="1"/>
    <row r="72" spans="1:11" ht="16">
      <c r="A72" s="56">
        <v>5</v>
      </c>
      <c r="B72" s="270"/>
      <c r="C72" s="270"/>
      <c r="D72" s="270"/>
      <c r="E72" s="57"/>
      <c r="F72" s="57"/>
      <c r="G72" s="57"/>
      <c r="H72" s="57"/>
      <c r="I72" s="58"/>
    </row>
    <row r="73" spans="1:11" ht="16">
      <c r="A73" s="59"/>
      <c r="B73" s="5"/>
      <c r="C73" s="5"/>
      <c r="D73" s="5"/>
      <c r="E73" s="5"/>
      <c r="F73" s="5"/>
      <c r="G73" s="5"/>
      <c r="H73" s="5"/>
      <c r="I73" s="60"/>
    </row>
    <row r="74" spans="1:11" ht="16">
      <c r="A74" s="59"/>
      <c r="B74" s="61" t="s">
        <v>32</v>
      </c>
      <c r="C74" s="62"/>
      <c r="D74" s="62"/>
      <c r="E74" s="62"/>
      <c r="F74" s="63"/>
      <c r="G74" s="5"/>
      <c r="H74" s="5"/>
      <c r="I74" s="60"/>
    </row>
    <row r="75" spans="1:11" ht="16">
      <c r="A75" s="59"/>
      <c r="B75" s="64"/>
      <c r="C75" s="5"/>
      <c r="D75" s="5"/>
      <c r="E75" s="5"/>
      <c r="F75" s="65"/>
      <c r="G75" s="5"/>
      <c r="H75" s="5"/>
      <c r="I75" s="60"/>
    </row>
    <row r="76" spans="1:11" ht="51">
      <c r="A76" s="59"/>
      <c r="B76" s="66" t="s">
        <v>57</v>
      </c>
      <c r="C76" s="67" t="s">
        <v>19</v>
      </c>
      <c r="D76" s="67" t="s">
        <v>58</v>
      </c>
      <c r="E76" s="67" t="s">
        <v>59</v>
      </c>
      <c r="F76" s="67" t="s">
        <v>20</v>
      </c>
      <c r="G76" s="67" t="s">
        <v>60</v>
      </c>
      <c r="H76" s="67" t="s">
        <v>61</v>
      </c>
      <c r="I76" s="68" t="s">
        <v>62</v>
      </c>
    </row>
    <row r="77" spans="1:11" ht="16">
      <c r="A77" s="59"/>
      <c r="B77" s="4">
        <v>0</v>
      </c>
      <c r="C77" s="69">
        <v>60</v>
      </c>
      <c r="D77" s="4">
        <v>1.01</v>
      </c>
      <c r="E77" s="4">
        <v>1.03</v>
      </c>
      <c r="F77" s="70">
        <f>B77*C77*D77*E77</f>
        <v>0</v>
      </c>
      <c r="G77" s="5"/>
      <c r="H77" s="5"/>
      <c r="I77" s="60"/>
      <c r="J77" s="80">
        <f>F77*H87</f>
        <v>0</v>
      </c>
      <c r="K77">
        <f>B77*H87</f>
        <v>0</v>
      </c>
    </row>
    <row r="78" spans="1:11" ht="16">
      <c r="A78" s="59"/>
      <c r="B78" s="64"/>
      <c r="C78" s="5"/>
      <c r="D78" s="5"/>
      <c r="E78" s="5"/>
      <c r="F78" s="65"/>
      <c r="G78" s="5"/>
      <c r="H78" s="5"/>
      <c r="I78" s="60"/>
    </row>
    <row r="79" spans="1:11" ht="16">
      <c r="A79" s="59"/>
      <c r="B79" s="71" t="s">
        <v>63</v>
      </c>
      <c r="C79" s="72"/>
      <c r="D79" s="72"/>
      <c r="E79" s="72"/>
      <c r="F79" s="73"/>
      <c r="G79" s="5"/>
      <c r="H79" s="5"/>
      <c r="I79" s="60"/>
    </row>
    <row r="80" spans="1:11" ht="16">
      <c r="A80" s="59"/>
      <c r="B80" s="64"/>
      <c r="C80" s="5"/>
      <c r="D80" s="5"/>
      <c r="E80" s="5"/>
      <c r="F80" s="65"/>
      <c r="G80" s="5"/>
      <c r="H80" s="5"/>
      <c r="I80" s="60"/>
    </row>
    <row r="81" spans="1:11" ht="34">
      <c r="A81" s="59"/>
      <c r="B81" s="104" t="s">
        <v>113</v>
      </c>
      <c r="C81" s="104" t="s">
        <v>114</v>
      </c>
      <c r="D81" s="104" t="s">
        <v>115</v>
      </c>
      <c r="E81" s="67" t="s">
        <v>64</v>
      </c>
      <c r="F81" s="67" t="s">
        <v>20</v>
      </c>
      <c r="G81" s="5"/>
      <c r="H81" s="5"/>
      <c r="I81" s="60"/>
    </row>
    <row r="82" spans="1:11" ht="16">
      <c r="A82" s="59"/>
      <c r="B82" s="105">
        <v>0</v>
      </c>
      <c r="C82" s="105">
        <v>0</v>
      </c>
      <c r="D82" s="105">
        <f>B82*C82</f>
        <v>0</v>
      </c>
      <c r="E82" s="69">
        <v>50</v>
      </c>
      <c r="F82" s="70">
        <f>D82*E82</f>
        <v>0</v>
      </c>
      <c r="G82" s="5"/>
      <c r="H82" s="5"/>
      <c r="I82" s="60"/>
    </row>
    <row r="83" spans="1:11" ht="16">
      <c r="A83" s="59"/>
      <c r="B83" s="64"/>
      <c r="C83" s="5"/>
      <c r="D83" s="5"/>
      <c r="E83" s="5"/>
      <c r="F83" s="65"/>
      <c r="G83" s="5"/>
      <c r="H83" s="5"/>
      <c r="I83" s="60"/>
    </row>
    <row r="84" spans="1:11" ht="16">
      <c r="A84" s="59"/>
      <c r="B84" s="71" t="s">
        <v>65</v>
      </c>
      <c r="C84" s="72"/>
      <c r="D84" s="72"/>
      <c r="E84" s="72"/>
      <c r="F84" s="73"/>
      <c r="G84" s="5"/>
      <c r="H84" s="5"/>
      <c r="I84" s="60"/>
    </row>
    <row r="85" spans="1:11" ht="16">
      <c r="A85" s="59"/>
      <c r="B85" s="64"/>
      <c r="C85" s="5"/>
      <c r="D85" s="5"/>
      <c r="E85" s="5"/>
      <c r="F85" s="65"/>
      <c r="G85" s="5"/>
      <c r="H85" s="5"/>
      <c r="I85" s="60"/>
    </row>
    <row r="86" spans="1:11" ht="35" thickBot="1">
      <c r="A86" s="59"/>
      <c r="B86" s="4" t="s">
        <v>66</v>
      </c>
      <c r="C86" s="67" t="s">
        <v>64</v>
      </c>
      <c r="D86" s="67" t="s">
        <v>20</v>
      </c>
      <c r="E86" s="5"/>
      <c r="F86" s="65"/>
      <c r="G86" s="5"/>
      <c r="H86" s="5"/>
      <c r="I86" s="60"/>
    </row>
    <row r="87" spans="1:11" ht="17" thickBot="1">
      <c r="A87" s="74"/>
      <c r="B87" s="75">
        <f>(B82+C82)*2</f>
        <v>0</v>
      </c>
      <c r="C87" s="75">
        <v>5</v>
      </c>
      <c r="D87" s="76">
        <f>B87*C87</f>
        <v>0</v>
      </c>
      <c r="E87" s="77"/>
      <c r="F87" s="77"/>
      <c r="G87" s="78">
        <f>F77+F82+D87</f>
        <v>0</v>
      </c>
      <c r="H87" s="77">
        <v>1</v>
      </c>
      <c r="I87" s="79">
        <f>G87*H87</f>
        <v>0</v>
      </c>
    </row>
    <row r="88" spans="1:11" ht="12" thickBot="1"/>
    <row r="89" spans="1:11" ht="16">
      <c r="A89" s="56">
        <v>6</v>
      </c>
      <c r="B89" s="270"/>
      <c r="C89" s="270"/>
      <c r="D89" s="270"/>
      <c r="E89" s="57"/>
      <c r="F89" s="57"/>
      <c r="G89" s="57"/>
      <c r="H89" s="57"/>
      <c r="I89" s="58"/>
    </row>
    <row r="90" spans="1:11" ht="16">
      <c r="A90" s="59"/>
      <c r="B90" s="5"/>
      <c r="C90" s="5"/>
      <c r="D90" s="5"/>
      <c r="E90" s="5"/>
      <c r="F90" s="5"/>
      <c r="G90" s="5"/>
      <c r="H90" s="5"/>
      <c r="I90" s="60"/>
    </row>
    <row r="91" spans="1:11" ht="16">
      <c r="A91" s="59"/>
      <c r="B91" s="61" t="s">
        <v>32</v>
      </c>
      <c r="C91" s="62"/>
      <c r="D91" s="62"/>
      <c r="E91" s="62"/>
      <c r="F91" s="63"/>
      <c r="G91" s="5"/>
      <c r="H91" s="5"/>
      <c r="I91" s="60"/>
    </row>
    <row r="92" spans="1:11" ht="16">
      <c r="A92" s="59"/>
      <c r="B92" s="64"/>
      <c r="C92" s="5"/>
      <c r="D92" s="5"/>
      <c r="E92" s="5"/>
      <c r="F92" s="65"/>
      <c r="G92" s="5"/>
      <c r="H92" s="5"/>
      <c r="I92" s="60"/>
    </row>
    <row r="93" spans="1:11" ht="51">
      <c r="A93" s="59"/>
      <c r="B93" s="66" t="s">
        <v>57</v>
      </c>
      <c r="C93" s="67" t="s">
        <v>19</v>
      </c>
      <c r="D93" s="67" t="s">
        <v>58</v>
      </c>
      <c r="E93" s="67" t="s">
        <v>59</v>
      </c>
      <c r="F93" s="67" t="s">
        <v>20</v>
      </c>
      <c r="G93" s="67" t="s">
        <v>60</v>
      </c>
      <c r="H93" s="67" t="s">
        <v>61</v>
      </c>
      <c r="I93" s="68" t="s">
        <v>62</v>
      </c>
    </row>
    <row r="94" spans="1:11" ht="16">
      <c r="A94" s="59"/>
      <c r="B94" s="4">
        <v>0</v>
      </c>
      <c r="C94" s="69">
        <v>60</v>
      </c>
      <c r="D94" s="4">
        <v>1.01</v>
      </c>
      <c r="E94" s="4">
        <v>1.03</v>
      </c>
      <c r="F94" s="70">
        <f>B94*C94*D94*E94</f>
        <v>0</v>
      </c>
      <c r="G94" s="5"/>
      <c r="H94" s="5"/>
      <c r="I94" s="60"/>
      <c r="J94" s="80">
        <f>F94*H104</f>
        <v>0</v>
      </c>
      <c r="K94">
        <f>B94*H104</f>
        <v>0</v>
      </c>
    </row>
    <row r="95" spans="1:11" ht="16">
      <c r="A95" s="59"/>
      <c r="B95" s="64"/>
      <c r="C95" s="5"/>
      <c r="D95" s="5"/>
      <c r="E95" s="5"/>
      <c r="F95" s="65"/>
      <c r="G95" s="5"/>
      <c r="H95" s="5"/>
      <c r="I95" s="60"/>
    </row>
    <row r="96" spans="1:11" ht="16">
      <c r="A96" s="59"/>
      <c r="B96" s="71" t="s">
        <v>63</v>
      </c>
      <c r="C96" s="72"/>
      <c r="D96" s="72"/>
      <c r="E96" s="72"/>
      <c r="F96" s="73"/>
      <c r="G96" s="5"/>
      <c r="H96" s="5"/>
      <c r="I96" s="60"/>
    </row>
    <row r="97" spans="1:11" ht="16">
      <c r="A97" s="59"/>
      <c r="B97" s="64"/>
      <c r="C97" s="5"/>
      <c r="D97" s="5"/>
      <c r="E97" s="5"/>
      <c r="F97" s="65"/>
      <c r="G97" s="5"/>
      <c r="H97" s="5"/>
      <c r="I97" s="60"/>
    </row>
    <row r="98" spans="1:11" ht="34">
      <c r="A98" s="59"/>
      <c r="B98" s="104" t="s">
        <v>113</v>
      </c>
      <c r="C98" s="104" t="s">
        <v>114</v>
      </c>
      <c r="D98" s="104" t="s">
        <v>115</v>
      </c>
      <c r="E98" s="67" t="s">
        <v>64</v>
      </c>
      <c r="F98" s="67" t="s">
        <v>20</v>
      </c>
      <c r="G98" s="5"/>
      <c r="H98" s="5"/>
      <c r="I98" s="60"/>
    </row>
    <row r="99" spans="1:11" ht="16">
      <c r="A99" s="59"/>
      <c r="B99" s="105">
        <v>0</v>
      </c>
      <c r="C99" s="105">
        <v>0</v>
      </c>
      <c r="D99" s="105">
        <f>B99*C99</f>
        <v>0</v>
      </c>
      <c r="E99" s="69">
        <v>50</v>
      </c>
      <c r="F99" s="70">
        <f>D99*E99</f>
        <v>0</v>
      </c>
      <c r="G99" s="5"/>
      <c r="H99" s="5"/>
      <c r="I99" s="60"/>
    </row>
    <row r="100" spans="1:11" ht="16">
      <c r="A100" s="59"/>
      <c r="B100" s="64"/>
      <c r="C100" s="5"/>
      <c r="D100" s="5"/>
      <c r="E100" s="5"/>
      <c r="F100" s="65"/>
      <c r="G100" s="5"/>
      <c r="H100" s="5"/>
      <c r="I100" s="60"/>
    </row>
    <row r="101" spans="1:11" ht="16">
      <c r="A101" s="59"/>
      <c r="B101" s="71" t="s">
        <v>65</v>
      </c>
      <c r="C101" s="72"/>
      <c r="D101" s="72"/>
      <c r="E101" s="72"/>
      <c r="F101" s="73"/>
      <c r="G101" s="5"/>
      <c r="H101" s="5"/>
      <c r="I101" s="60"/>
    </row>
    <row r="102" spans="1:11" ht="16">
      <c r="A102" s="59"/>
      <c r="B102" s="64"/>
      <c r="C102" s="5"/>
      <c r="D102" s="5"/>
      <c r="E102" s="5"/>
      <c r="F102" s="65"/>
      <c r="G102" s="5"/>
      <c r="H102" s="5"/>
      <c r="I102" s="60"/>
    </row>
    <row r="103" spans="1:11" ht="35" thickBot="1">
      <c r="A103" s="59"/>
      <c r="B103" s="4" t="s">
        <v>66</v>
      </c>
      <c r="C103" s="67" t="s">
        <v>64</v>
      </c>
      <c r="D103" s="67" t="s">
        <v>20</v>
      </c>
      <c r="E103" s="5"/>
      <c r="F103" s="65"/>
      <c r="G103" s="5"/>
      <c r="H103" s="5"/>
      <c r="I103" s="60"/>
    </row>
    <row r="104" spans="1:11" ht="17" thickBot="1">
      <c r="A104" s="74"/>
      <c r="B104" s="75">
        <f>(B99+C99)*2</f>
        <v>0</v>
      </c>
      <c r="C104" s="75">
        <v>5</v>
      </c>
      <c r="D104" s="76">
        <f>B104*C104</f>
        <v>0</v>
      </c>
      <c r="E104" s="77"/>
      <c r="F104" s="77"/>
      <c r="G104" s="78">
        <f>F94+F99+D104</f>
        <v>0</v>
      </c>
      <c r="H104" s="77">
        <v>1</v>
      </c>
      <c r="I104" s="79">
        <f>G104*H104</f>
        <v>0</v>
      </c>
    </row>
    <row r="105" spans="1:11" ht="12" thickBot="1"/>
    <row r="106" spans="1:11" ht="16">
      <c r="A106" s="56">
        <v>7</v>
      </c>
      <c r="B106" s="270"/>
      <c r="C106" s="270"/>
      <c r="D106" s="270"/>
      <c r="E106" s="57"/>
      <c r="F106" s="57"/>
      <c r="G106" s="57"/>
      <c r="H106" s="57"/>
      <c r="I106" s="58"/>
    </row>
    <row r="107" spans="1:11" ht="16">
      <c r="A107" s="59"/>
      <c r="B107" s="5"/>
      <c r="C107" s="5"/>
      <c r="D107" s="5"/>
      <c r="E107" s="5"/>
      <c r="F107" s="5"/>
      <c r="G107" s="5"/>
      <c r="H107" s="5"/>
      <c r="I107" s="60"/>
    </row>
    <row r="108" spans="1:11" ht="16">
      <c r="A108" s="59"/>
      <c r="B108" s="61" t="s">
        <v>32</v>
      </c>
      <c r="C108" s="62"/>
      <c r="D108" s="62"/>
      <c r="E108" s="62"/>
      <c r="F108" s="63"/>
      <c r="G108" s="5"/>
      <c r="H108" s="5"/>
      <c r="I108" s="60"/>
    </row>
    <row r="109" spans="1:11" ht="16">
      <c r="A109" s="59"/>
      <c r="B109" s="64"/>
      <c r="C109" s="5"/>
      <c r="D109" s="5"/>
      <c r="E109" s="5"/>
      <c r="F109" s="65"/>
      <c r="G109" s="5"/>
      <c r="H109" s="5"/>
      <c r="I109" s="60"/>
    </row>
    <row r="110" spans="1:11" ht="51">
      <c r="A110" s="59"/>
      <c r="B110" s="66" t="s">
        <v>57</v>
      </c>
      <c r="C110" s="67" t="s">
        <v>19</v>
      </c>
      <c r="D110" s="67" t="s">
        <v>58</v>
      </c>
      <c r="E110" s="67" t="s">
        <v>59</v>
      </c>
      <c r="F110" s="67" t="s">
        <v>20</v>
      </c>
      <c r="G110" s="67" t="s">
        <v>60</v>
      </c>
      <c r="H110" s="67" t="s">
        <v>61</v>
      </c>
      <c r="I110" s="68" t="s">
        <v>62</v>
      </c>
    </row>
    <row r="111" spans="1:11" ht="16">
      <c r="A111" s="59"/>
      <c r="B111" s="4">
        <v>0</v>
      </c>
      <c r="C111" s="69">
        <v>60</v>
      </c>
      <c r="D111" s="4">
        <v>1.01</v>
      </c>
      <c r="E111" s="4">
        <v>1.03</v>
      </c>
      <c r="F111" s="70">
        <f>B111*C111*D111*E111</f>
        <v>0</v>
      </c>
      <c r="G111" s="5"/>
      <c r="H111" s="5"/>
      <c r="I111" s="60"/>
      <c r="J111" s="80">
        <f>F111*H121</f>
        <v>0</v>
      </c>
      <c r="K111">
        <f>B111*H121</f>
        <v>0</v>
      </c>
    </row>
    <row r="112" spans="1:11" ht="16">
      <c r="A112" s="59"/>
      <c r="B112" s="64"/>
      <c r="C112" s="5"/>
      <c r="D112" s="5"/>
      <c r="E112" s="5"/>
      <c r="F112" s="65"/>
      <c r="G112" s="5"/>
      <c r="H112" s="5"/>
      <c r="I112" s="60"/>
    </row>
    <row r="113" spans="1:10" ht="16">
      <c r="A113" s="59"/>
      <c r="B113" s="71" t="s">
        <v>63</v>
      </c>
      <c r="C113" s="72"/>
      <c r="D113" s="72"/>
      <c r="E113" s="72"/>
      <c r="F113" s="73"/>
      <c r="G113" s="5"/>
      <c r="H113" s="5"/>
      <c r="I113" s="60"/>
    </row>
    <row r="114" spans="1:10" ht="16">
      <c r="A114" s="59"/>
      <c r="B114" s="64"/>
      <c r="C114" s="5"/>
      <c r="D114" s="5"/>
      <c r="E114" s="5"/>
      <c r="F114" s="65"/>
      <c r="G114" s="5"/>
      <c r="H114" s="5"/>
      <c r="I114" s="60"/>
    </row>
    <row r="115" spans="1:10" ht="34">
      <c r="A115" s="59"/>
      <c r="B115" s="104" t="s">
        <v>113</v>
      </c>
      <c r="C115" s="104" t="s">
        <v>114</v>
      </c>
      <c r="D115" s="104" t="s">
        <v>115</v>
      </c>
      <c r="E115" s="67" t="s">
        <v>64</v>
      </c>
      <c r="F115" s="67" t="s">
        <v>20</v>
      </c>
      <c r="G115" s="5"/>
      <c r="H115" s="5"/>
      <c r="I115" s="60"/>
    </row>
    <row r="116" spans="1:10" ht="16">
      <c r="A116" s="59"/>
      <c r="B116" s="105">
        <v>0</v>
      </c>
      <c r="C116" s="105">
        <v>0</v>
      </c>
      <c r="D116" s="105">
        <f>B116*C116</f>
        <v>0</v>
      </c>
      <c r="E116" s="69">
        <v>50</v>
      </c>
      <c r="F116" s="70">
        <f>D116*E116</f>
        <v>0</v>
      </c>
      <c r="G116" s="5"/>
      <c r="H116" s="5"/>
      <c r="I116" s="60"/>
    </row>
    <row r="117" spans="1:10" ht="16">
      <c r="A117" s="59"/>
      <c r="B117" s="64"/>
      <c r="C117" s="5"/>
      <c r="D117" s="5"/>
      <c r="E117" s="5"/>
      <c r="F117" s="65"/>
      <c r="G117" s="5"/>
      <c r="H117" s="5"/>
      <c r="I117" s="60"/>
    </row>
    <row r="118" spans="1:10" ht="16">
      <c r="A118" s="59"/>
      <c r="B118" s="71" t="s">
        <v>65</v>
      </c>
      <c r="C118" s="72"/>
      <c r="D118" s="72"/>
      <c r="E118" s="72"/>
      <c r="F118" s="73"/>
      <c r="G118" s="5"/>
      <c r="H118" s="5"/>
      <c r="I118" s="60"/>
    </row>
    <row r="119" spans="1:10" ht="16">
      <c r="A119" s="59"/>
      <c r="B119" s="64"/>
      <c r="C119" s="5"/>
      <c r="D119" s="5"/>
      <c r="E119" s="5"/>
      <c r="F119" s="65"/>
      <c r="G119" s="5"/>
      <c r="H119" s="5"/>
      <c r="I119" s="60"/>
    </row>
    <row r="120" spans="1:10" ht="35" thickBot="1">
      <c r="A120" s="59"/>
      <c r="B120" s="4" t="s">
        <v>66</v>
      </c>
      <c r="C120" s="67" t="s">
        <v>64</v>
      </c>
      <c r="D120" s="67" t="s">
        <v>20</v>
      </c>
      <c r="E120" s="5"/>
      <c r="F120" s="65"/>
      <c r="G120" s="5"/>
      <c r="H120" s="5"/>
      <c r="I120" s="60"/>
    </row>
    <row r="121" spans="1:10" ht="17" thickBot="1">
      <c r="A121" s="74"/>
      <c r="B121" s="75">
        <f>(B116+C116)*2</f>
        <v>0</v>
      </c>
      <c r="C121" s="75">
        <v>5</v>
      </c>
      <c r="D121" s="76">
        <f>B121*C121</f>
        <v>0</v>
      </c>
      <c r="E121" s="77"/>
      <c r="F121" s="77"/>
      <c r="G121" s="78">
        <f>F111+F116+D121</f>
        <v>0</v>
      </c>
      <c r="H121" s="77">
        <v>1</v>
      </c>
      <c r="I121" s="79">
        <f>G121*H121</f>
        <v>0</v>
      </c>
    </row>
    <row r="122" spans="1:10" ht="12" thickBot="1"/>
    <row r="123" spans="1:10" ht="16">
      <c r="A123" s="56">
        <v>8</v>
      </c>
      <c r="B123" s="270"/>
      <c r="C123" s="270"/>
      <c r="D123" s="270"/>
      <c r="E123" s="57"/>
      <c r="F123" s="57"/>
      <c r="G123" s="57"/>
      <c r="H123" s="57"/>
      <c r="I123" s="58"/>
    </row>
    <row r="124" spans="1:10" ht="16">
      <c r="A124" s="59"/>
      <c r="B124" s="5"/>
      <c r="C124" s="5"/>
      <c r="D124" s="5"/>
      <c r="E124" s="5"/>
      <c r="F124" s="5"/>
      <c r="G124" s="5"/>
      <c r="H124" s="5"/>
      <c r="I124" s="60"/>
    </row>
    <row r="125" spans="1:10" ht="16">
      <c r="A125" s="59"/>
      <c r="B125" s="61" t="s">
        <v>32</v>
      </c>
      <c r="C125" s="62"/>
      <c r="D125" s="62"/>
      <c r="E125" s="62"/>
      <c r="F125" s="63"/>
      <c r="G125" s="5"/>
      <c r="H125" s="5"/>
      <c r="I125" s="60"/>
    </row>
    <row r="126" spans="1:10" ht="16">
      <c r="A126" s="59"/>
      <c r="B126" s="64"/>
      <c r="C126" s="5"/>
      <c r="D126" s="5"/>
      <c r="E126" s="5"/>
      <c r="F126" s="65"/>
      <c r="G126" s="5"/>
      <c r="H126" s="5"/>
      <c r="I126" s="60"/>
    </row>
    <row r="127" spans="1:10" ht="51">
      <c r="A127" s="59"/>
      <c r="B127" s="66" t="s">
        <v>57</v>
      </c>
      <c r="C127" s="67" t="s">
        <v>19</v>
      </c>
      <c r="D127" s="67" t="s">
        <v>58</v>
      </c>
      <c r="E127" s="67" t="s">
        <v>59</v>
      </c>
      <c r="F127" s="67" t="s">
        <v>20</v>
      </c>
      <c r="G127" s="67" t="s">
        <v>60</v>
      </c>
      <c r="H127" s="67" t="s">
        <v>61</v>
      </c>
      <c r="I127" s="68" t="s">
        <v>62</v>
      </c>
    </row>
    <row r="128" spans="1:10" ht="16">
      <c r="A128" s="59"/>
      <c r="B128" s="4">
        <v>0</v>
      </c>
      <c r="C128" s="69">
        <v>60</v>
      </c>
      <c r="D128" s="4">
        <v>1.01</v>
      </c>
      <c r="E128" s="4">
        <v>1.03</v>
      </c>
      <c r="F128" s="70">
        <f>B128*C128*D128*E128</f>
        <v>0</v>
      </c>
      <c r="G128" s="5"/>
      <c r="H128" s="5"/>
      <c r="I128" s="60"/>
      <c r="J128" s="80">
        <f>F128*H138</f>
        <v>0</v>
      </c>
    </row>
    <row r="129" spans="1:9" ht="16">
      <c r="A129" s="59"/>
      <c r="B129" s="64"/>
      <c r="C129" s="5"/>
      <c r="D129" s="5"/>
      <c r="E129" s="5"/>
      <c r="F129" s="65"/>
      <c r="G129" s="5"/>
      <c r="H129" s="5"/>
      <c r="I129" s="60"/>
    </row>
    <row r="130" spans="1:9" ht="16">
      <c r="A130" s="59"/>
      <c r="B130" s="71" t="s">
        <v>63</v>
      </c>
      <c r="C130" s="72"/>
      <c r="D130" s="72"/>
      <c r="E130" s="72"/>
      <c r="F130" s="73"/>
      <c r="G130" s="5"/>
      <c r="H130" s="5"/>
      <c r="I130" s="60"/>
    </row>
    <row r="131" spans="1:9" ht="16">
      <c r="A131" s="59"/>
      <c r="B131" s="64"/>
      <c r="C131" s="5"/>
      <c r="D131" s="5"/>
      <c r="E131" s="5"/>
      <c r="F131" s="65"/>
      <c r="G131" s="5"/>
      <c r="H131" s="5"/>
      <c r="I131" s="60"/>
    </row>
    <row r="132" spans="1:9" ht="34">
      <c r="A132" s="59"/>
      <c r="B132" s="104" t="s">
        <v>113</v>
      </c>
      <c r="C132" s="104" t="s">
        <v>114</v>
      </c>
      <c r="D132" s="104" t="s">
        <v>115</v>
      </c>
      <c r="E132" s="67" t="s">
        <v>64</v>
      </c>
      <c r="F132" s="67" t="s">
        <v>20</v>
      </c>
      <c r="G132" s="5"/>
      <c r="H132" s="5"/>
      <c r="I132" s="60"/>
    </row>
    <row r="133" spans="1:9" ht="16">
      <c r="A133" s="59"/>
      <c r="B133" s="105">
        <v>0</v>
      </c>
      <c r="C133" s="105">
        <v>0</v>
      </c>
      <c r="D133" s="105">
        <f>B133*C133</f>
        <v>0</v>
      </c>
      <c r="E133" s="69">
        <v>50</v>
      </c>
      <c r="F133" s="70">
        <f>D133*E133</f>
        <v>0</v>
      </c>
      <c r="G133" s="5"/>
      <c r="H133" s="5"/>
      <c r="I133" s="60"/>
    </row>
    <row r="134" spans="1:9" ht="16">
      <c r="A134" s="59"/>
      <c r="B134" s="64"/>
      <c r="C134" s="5"/>
      <c r="D134" s="5"/>
      <c r="E134" s="5"/>
      <c r="F134" s="65"/>
      <c r="G134" s="5"/>
      <c r="H134" s="5"/>
      <c r="I134" s="60"/>
    </row>
    <row r="135" spans="1:9" ht="16">
      <c r="A135" s="59"/>
      <c r="B135" s="71" t="s">
        <v>65</v>
      </c>
      <c r="C135" s="72"/>
      <c r="D135" s="72"/>
      <c r="E135" s="72"/>
      <c r="F135" s="73"/>
      <c r="G135" s="5"/>
      <c r="H135" s="5"/>
      <c r="I135" s="60"/>
    </row>
    <row r="136" spans="1:9" ht="16">
      <c r="A136" s="59"/>
      <c r="B136" s="64"/>
      <c r="C136" s="5"/>
      <c r="D136" s="5"/>
      <c r="E136" s="5"/>
      <c r="F136" s="65"/>
      <c r="G136" s="5"/>
      <c r="H136" s="5"/>
      <c r="I136" s="60"/>
    </row>
    <row r="137" spans="1:9" ht="35" thickBot="1">
      <c r="A137" s="59"/>
      <c r="B137" s="4" t="s">
        <v>66</v>
      </c>
      <c r="C137" s="67" t="s">
        <v>64</v>
      </c>
      <c r="D137" s="67" t="s">
        <v>20</v>
      </c>
      <c r="E137" s="5"/>
      <c r="F137" s="65"/>
      <c r="G137" s="5"/>
      <c r="H137" s="5"/>
      <c r="I137" s="60"/>
    </row>
    <row r="138" spans="1:9" ht="17" thickBot="1">
      <c r="A138" s="74"/>
      <c r="B138" s="75">
        <f>(B133+C133)*2</f>
        <v>0</v>
      </c>
      <c r="C138" s="75">
        <v>5</v>
      </c>
      <c r="D138" s="76">
        <f>B138*C138</f>
        <v>0</v>
      </c>
      <c r="E138" s="77"/>
      <c r="F138" s="77"/>
      <c r="G138" s="78">
        <f>F128+F133+D138</f>
        <v>0</v>
      </c>
      <c r="H138" s="77">
        <v>1</v>
      </c>
      <c r="I138" s="79">
        <f>G138*H138</f>
        <v>0</v>
      </c>
    </row>
    <row r="139" spans="1:9" ht="12" thickBot="1"/>
    <row r="140" spans="1:9" ht="16">
      <c r="A140" s="56">
        <v>9</v>
      </c>
      <c r="B140" s="270"/>
      <c r="C140" s="270"/>
      <c r="D140" s="270"/>
      <c r="E140" s="57"/>
      <c r="F140" s="57"/>
      <c r="G140" s="57"/>
      <c r="H140" s="57"/>
      <c r="I140" s="58"/>
    </row>
    <row r="141" spans="1:9" ht="16">
      <c r="A141" s="59"/>
      <c r="B141" s="5"/>
      <c r="C141" s="5"/>
      <c r="D141" s="5"/>
      <c r="E141" s="5"/>
      <c r="F141" s="5"/>
      <c r="G141" s="5"/>
      <c r="H141" s="5"/>
      <c r="I141" s="60"/>
    </row>
    <row r="142" spans="1:9" ht="16">
      <c r="A142" s="59"/>
      <c r="B142" s="61" t="s">
        <v>32</v>
      </c>
      <c r="C142" s="62"/>
      <c r="D142" s="62"/>
      <c r="E142" s="62"/>
      <c r="F142" s="63"/>
      <c r="G142" s="5"/>
      <c r="H142" s="5"/>
      <c r="I142" s="60"/>
    </row>
    <row r="143" spans="1:9" ht="16">
      <c r="A143" s="59"/>
      <c r="B143" s="64"/>
      <c r="C143" s="5"/>
      <c r="D143" s="5"/>
      <c r="E143" s="5"/>
      <c r="F143" s="65"/>
      <c r="G143" s="5"/>
      <c r="H143" s="5"/>
      <c r="I143" s="60"/>
    </row>
    <row r="144" spans="1:9" ht="51">
      <c r="A144" s="59"/>
      <c r="B144" s="66" t="s">
        <v>57</v>
      </c>
      <c r="C144" s="67" t="s">
        <v>19</v>
      </c>
      <c r="D144" s="67" t="s">
        <v>58</v>
      </c>
      <c r="E144" s="67" t="s">
        <v>59</v>
      </c>
      <c r="F144" s="67" t="s">
        <v>20</v>
      </c>
      <c r="G144" s="67" t="s">
        <v>60</v>
      </c>
      <c r="H144" s="67" t="s">
        <v>61</v>
      </c>
      <c r="I144" s="68" t="s">
        <v>62</v>
      </c>
    </row>
    <row r="145" spans="1:11" ht="16">
      <c r="A145" s="59"/>
      <c r="B145" s="4">
        <v>0</v>
      </c>
      <c r="C145" s="69">
        <v>60</v>
      </c>
      <c r="D145" s="4">
        <v>1.01</v>
      </c>
      <c r="E145" s="4">
        <v>1.03</v>
      </c>
      <c r="F145" s="70">
        <f>B145*C145*D145*E145</f>
        <v>0</v>
      </c>
      <c r="G145" s="5"/>
      <c r="H145" s="5"/>
      <c r="I145" s="60"/>
      <c r="J145" s="80">
        <f>F145*H155</f>
        <v>0</v>
      </c>
      <c r="K145">
        <f>B145*H155</f>
        <v>0</v>
      </c>
    </row>
    <row r="146" spans="1:11" ht="16">
      <c r="A146" s="59"/>
      <c r="B146" s="64"/>
      <c r="C146" s="5"/>
      <c r="D146" s="5"/>
      <c r="E146" s="5"/>
      <c r="F146" s="65"/>
      <c r="G146" s="5"/>
      <c r="H146" s="5"/>
      <c r="I146" s="60"/>
    </row>
    <row r="147" spans="1:11" ht="16">
      <c r="A147" s="59"/>
      <c r="B147" s="71" t="s">
        <v>63</v>
      </c>
      <c r="C147" s="72"/>
      <c r="D147" s="72"/>
      <c r="E147" s="72"/>
      <c r="F147" s="73"/>
      <c r="G147" s="5"/>
      <c r="H147" s="5"/>
      <c r="I147" s="60"/>
    </row>
    <row r="148" spans="1:11" ht="16">
      <c r="A148" s="59"/>
      <c r="B148" s="64"/>
      <c r="C148" s="5"/>
      <c r="D148" s="5"/>
      <c r="E148" s="5"/>
      <c r="F148" s="65"/>
      <c r="G148" s="5"/>
      <c r="H148" s="5"/>
      <c r="I148" s="60"/>
    </row>
    <row r="149" spans="1:11" ht="34">
      <c r="A149" s="59"/>
      <c r="B149" s="104" t="s">
        <v>113</v>
      </c>
      <c r="C149" s="104" t="s">
        <v>114</v>
      </c>
      <c r="D149" s="104" t="s">
        <v>115</v>
      </c>
      <c r="E149" s="67" t="s">
        <v>64</v>
      </c>
      <c r="F149" s="67" t="s">
        <v>20</v>
      </c>
      <c r="G149" s="5"/>
      <c r="H149" s="5"/>
      <c r="I149" s="60"/>
    </row>
    <row r="150" spans="1:11" ht="16">
      <c r="A150" s="59"/>
      <c r="B150" s="105">
        <v>0</v>
      </c>
      <c r="C150" s="105">
        <v>0</v>
      </c>
      <c r="D150" s="105">
        <f>B150*C150</f>
        <v>0</v>
      </c>
      <c r="E150" s="69">
        <v>50</v>
      </c>
      <c r="F150" s="70">
        <f>D150*E150</f>
        <v>0</v>
      </c>
      <c r="G150" s="5"/>
      <c r="H150" s="5"/>
      <c r="I150" s="60"/>
    </row>
    <row r="151" spans="1:11" ht="16">
      <c r="A151" s="59"/>
      <c r="B151" s="64"/>
      <c r="C151" s="5"/>
      <c r="D151" s="5"/>
      <c r="E151" s="5"/>
      <c r="F151" s="65"/>
      <c r="G151" s="5"/>
      <c r="H151" s="5"/>
      <c r="I151" s="60"/>
    </row>
    <row r="152" spans="1:11" ht="16">
      <c r="A152" s="59"/>
      <c r="B152" s="71" t="s">
        <v>65</v>
      </c>
      <c r="C152" s="72"/>
      <c r="D152" s="72"/>
      <c r="E152" s="72"/>
      <c r="F152" s="73"/>
      <c r="G152" s="5"/>
      <c r="H152" s="5"/>
      <c r="I152" s="60"/>
    </row>
    <row r="153" spans="1:11" ht="16">
      <c r="A153" s="59"/>
      <c r="B153" s="64"/>
      <c r="C153" s="5"/>
      <c r="D153" s="5"/>
      <c r="E153" s="5"/>
      <c r="F153" s="65"/>
      <c r="G153" s="5"/>
      <c r="H153" s="5"/>
      <c r="I153" s="60"/>
    </row>
    <row r="154" spans="1:11" ht="35" thickBot="1">
      <c r="A154" s="59"/>
      <c r="B154" s="4" t="s">
        <v>66</v>
      </c>
      <c r="C154" s="67" t="s">
        <v>64</v>
      </c>
      <c r="D154" s="67" t="s">
        <v>20</v>
      </c>
      <c r="E154" s="5"/>
      <c r="F154" s="65"/>
      <c r="G154" s="5"/>
      <c r="H154" s="5"/>
      <c r="I154" s="60"/>
    </row>
    <row r="155" spans="1:11" ht="17" thickBot="1">
      <c r="A155" s="74"/>
      <c r="B155" s="75">
        <f>(B150+C150)*2</f>
        <v>0</v>
      </c>
      <c r="C155" s="75">
        <v>5</v>
      </c>
      <c r="D155" s="76">
        <f>B155*C155</f>
        <v>0</v>
      </c>
      <c r="E155" s="77"/>
      <c r="F155" s="77"/>
      <c r="G155" s="78">
        <f>F145+F150+D155</f>
        <v>0</v>
      </c>
      <c r="H155" s="77">
        <v>1</v>
      </c>
      <c r="I155" s="79">
        <f>G155*H155</f>
        <v>0</v>
      </c>
    </row>
    <row r="156" spans="1:11">
      <c r="H156" t="s">
        <v>70</v>
      </c>
      <c r="I156" s="80">
        <f>SUM(I19:I155)</f>
        <v>483.10952799999995</v>
      </c>
      <c r="J156" s="80">
        <f>SUM(J9:J155)</f>
        <v>338.36797799999999</v>
      </c>
      <c r="K156" t="s">
        <v>68</v>
      </c>
    </row>
    <row r="157" spans="1:11">
      <c r="J157" s="80">
        <f>I156-J156</f>
        <v>144.74154999999996</v>
      </c>
      <c r="K157" t="s">
        <v>69</v>
      </c>
    </row>
    <row r="158" spans="1:11">
      <c r="J158">
        <f>SUM(K9:K155)</f>
        <v>2.54</v>
      </c>
      <c r="K158" t="s">
        <v>176</v>
      </c>
    </row>
  </sheetData>
  <mergeCells count="10">
    <mergeCell ref="B4:D4"/>
    <mergeCell ref="B21:D21"/>
    <mergeCell ref="B38:D38"/>
    <mergeCell ref="B3:D3"/>
    <mergeCell ref="B55:D55"/>
    <mergeCell ref="B72:D72"/>
    <mergeCell ref="B89:D89"/>
    <mergeCell ref="B106:D106"/>
    <mergeCell ref="B123:D123"/>
    <mergeCell ref="B140:D14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38"/>
  <sheetViews>
    <sheetView workbookViewId="0">
      <pane xSplit="3" ySplit="2" topLeftCell="D3" activePane="bottomRight" state="frozen"/>
      <selection pane="topRight" activeCell="D1" sqref="D1"/>
      <selection pane="bottomLeft" activeCell="A3" sqref="A3"/>
      <selection pane="bottomRight" activeCell="F16" sqref="F16"/>
    </sheetView>
  </sheetViews>
  <sheetFormatPr baseColWidth="10" defaultColWidth="8.75" defaultRowHeight="11"/>
  <cols>
    <col min="1" max="1" width="9.25" customWidth="1"/>
    <col min="2" max="2" width="30" customWidth="1"/>
    <col min="3" max="3" width="28.75" customWidth="1"/>
    <col min="4" max="4" width="12.25" customWidth="1"/>
    <col min="5" max="5" width="18.25" customWidth="1"/>
    <col min="6" max="6" width="31.5" customWidth="1"/>
    <col min="7" max="7" width="16" customWidth="1"/>
    <col min="8" max="8" width="13.25" customWidth="1"/>
    <col min="9" max="9" width="10.25" customWidth="1"/>
    <col min="10" max="10" width="12" customWidth="1"/>
    <col min="11" max="11" width="17.25" customWidth="1"/>
    <col min="12" max="12" width="19.5" customWidth="1"/>
    <col min="13" max="13" width="35.75" customWidth="1"/>
    <col min="14" max="14" width="32.75" customWidth="1"/>
    <col min="15" max="15" width="36.75" customWidth="1"/>
    <col min="16" max="16" width="30.25" customWidth="1"/>
    <col min="17" max="17" width="38.75" customWidth="1"/>
    <col min="18" max="18" width="33" customWidth="1"/>
    <col min="19" max="19" width="16.25" customWidth="1"/>
    <col min="20" max="20" width="18" customWidth="1"/>
    <col min="21" max="22" width="16.5" customWidth="1"/>
  </cols>
  <sheetData>
    <row r="1" spans="1:22" ht="19.5" customHeight="1">
      <c r="A1" s="272"/>
      <c r="B1" s="272"/>
      <c r="C1" s="272"/>
      <c r="D1" s="272"/>
      <c r="E1" s="272"/>
    </row>
    <row r="2" spans="1:22" s="88" customFormat="1" ht="64.5" customHeight="1">
      <c r="A2" s="95" t="s">
        <v>29</v>
      </c>
      <c r="B2" s="96" t="s">
        <v>30</v>
      </c>
      <c r="C2" s="96" t="s">
        <v>2</v>
      </c>
      <c r="D2" s="96" t="s">
        <v>97</v>
      </c>
      <c r="E2" s="96" t="s">
        <v>96</v>
      </c>
      <c r="F2" s="96" t="s">
        <v>32</v>
      </c>
      <c r="G2" s="96" t="s">
        <v>33</v>
      </c>
      <c r="H2" s="96" t="s">
        <v>74</v>
      </c>
      <c r="I2" s="96" t="s">
        <v>84</v>
      </c>
      <c r="J2" s="96" t="s">
        <v>92</v>
      </c>
      <c r="K2" s="96" t="s">
        <v>94</v>
      </c>
      <c r="L2" s="96" t="s">
        <v>95</v>
      </c>
      <c r="M2" s="96" t="s">
        <v>93</v>
      </c>
      <c r="N2" s="96" t="s">
        <v>104</v>
      </c>
      <c r="O2" s="96" t="s">
        <v>105</v>
      </c>
      <c r="P2" s="96" t="s">
        <v>106</v>
      </c>
      <c r="Q2" s="96" t="s">
        <v>98</v>
      </c>
      <c r="R2" s="96" t="s">
        <v>99</v>
      </c>
      <c r="S2" s="96" t="s">
        <v>100</v>
      </c>
      <c r="T2" s="96" t="s">
        <v>101</v>
      </c>
      <c r="U2" s="96" t="s">
        <v>102</v>
      </c>
      <c r="V2" s="97" t="s">
        <v>103</v>
      </c>
    </row>
    <row r="3" spans="1:22" ht="15">
      <c r="A3" s="93">
        <v>1</v>
      </c>
      <c r="B3" s="83" t="s">
        <v>343</v>
      </c>
      <c r="C3" s="83" t="s">
        <v>344</v>
      </c>
      <c r="D3" s="83">
        <v>4</v>
      </c>
      <c r="E3" s="83">
        <v>2</v>
      </c>
      <c r="F3" s="91" t="s">
        <v>85</v>
      </c>
      <c r="G3" s="83" t="s">
        <v>333</v>
      </c>
      <c r="H3" s="83">
        <v>0.02</v>
      </c>
      <c r="I3" s="83">
        <v>0</v>
      </c>
      <c r="J3" s="83">
        <v>1</v>
      </c>
      <c r="K3" s="83">
        <v>125.66</v>
      </c>
      <c r="L3" s="83">
        <v>60.62</v>
      </c>
      <c r="M3" s="83">
        <v>94</v>
      </c>
      <c r="N3" s="83">
        <v>25</v>
      </c>
      <c r="O3" s="90">
        <f>VLOOKUP(E3,'Прайс Лазер'!$I$4:$J$21,2,0)</f>
        <v>2.2999999999999998</v>
      </c>
      <c r="P3" s="83">
        <f>HLOOKUP('Оценка лазера'!$E3,'Прайс Лазер'!$C$26:$T$34,1+VLOOKUP(F3,'Прайс Лазер'!$A$26:$B$34,2,0),0)</f>
        <v>28.749999999999996</v>
      </c>
      <c r="Q3" s="83">
        <f t="shared" ref="Q3:Q18" si="0">H3*M3</f>
        <v>1.8800000000000001</v>
      </c>
      <c r="R3" s="83">
        <f t="shared" ref="R3:R18" si="1">I3*N3</f>
        <v>0</v>
      </c>
      <c r="S3" s="83">
        <f t="shared" ref="S3:S18" si="2">(K3+L3)/1000*1.1*P3+(J3*O3)</f>
        <v>8.1911050000000003</v>
      </c>
      <c r="T3" s="83">
        <f t="shared" ref="T3:T18" si="3">Q3+R3+S3</f>
        <v>10.071105000000001</v>
      </c>
      <c r="U3" s="83">
        <f t="shared" ref="U3:U18" si="4">D3*T3</f>
        <v>40.284420000000004</v>
      </c>
      <c r="V3" s="94">
        <f t="shared" ref="V3:V18" si="5">U3/1.2</f>
        <v>33.570350000000005</v>
      </c>
    </row>
    <row r="4" spans="1:22" ht="15">
      <c r="A4" s="93">
        <f>A3+1</f>
        <v>2</v>
      </c>
      <c r="B4" s="83" t="s">
        <v>348</v>
      </c>
      <c r="C4" s="83" t="s">
        <v>349</v>
      </c>
      <c r="D4" s="83">
        <v>2</v>
      </c>
      <c r="E4" s="83">
        <v>4</v>
      </c>
      <c r="F4" s="91" t="s">
        <v>85</v>
      </c>
      <c r="G4" s="83" t="s">
        <v>333</v>
      </c>
      <c r="H4" s="83">
        <v>7.0000000000000007E-2</v>
      </c>
      <c r="I4" s="83">
        <v>0</v>
      </c>
      <c r="J4" s="83">
        <v>2</v>
      </c>
      <c r="K4" s="83">
        <v>240</v>
      </c>
      <c r="L4" s="83">
        <v>40.840000000000003</v>
      </c>
      <c r="M4" s="83">
        <v>94</v>
      </c>
      <c r="N4" s="83">
        <v>25</v>
      </c>
      <c r="O4" s="90">
        <f>VLOOKUP(E4,'Прайс Лазер'!$I$4:$J$21,2,0)</f>
        <v>3.4499999999999997</v>
      </c>
      <c r="P4" s="83">
        <f>HLOOKUP('Оценка лазера'!$E4,'Прайс Лазер'!$C$26:$T$34,1+VLOOKUP(F4,'Прайс Лазер'!$A$26:$B$34,2,0),0)</f>
        <v>51.749999999999993</v>
      </c>
      <c r="Q4" s="83">
        <f t="shared" si="0"/>
        <v>6.580000000000001</v>
      </c>
      <c r="R4" s="83">
        <f t="shared" si="1"/>
        <v>0</v>
      </c>
      <c r="S4" s="83">
        <f t="shared" si="2"/>
        <v>22.886817000000001</v>
      </c>
      <c r="T4" s="83">
        <f t="shared" si="3"/>
        <v>29.466817000000002</v>
      </c>
      <c r="U4" s="83">
        <f t="shared" si="4"/>
        <v>58.933634000000005</v>
      </c>
      <c r="V4" s="94">
        <f t="shared" si="5"/>
        <v>49.111361666666674</v>
      </c>
    </row>
    <row r="5" spans="1:22" ht="15">
      <c r="A5" s="93">
        <f t="shared" ref="A5:A68" si="6">A4+1</f>
        <v>3</v>
      </c>
      <c r="B5" s="83" t="s">
        <v>322</v>
      </c>
      <c r="C5" s="83" t="s">
        <v>323</v>
      </c>
      <c r="D5" s="83">
        <v>3</v>
      </c>
      <c r="E5" s="83">
        <v>1.5</v>
      </c>
      <c r="F5" s="91" t="s">
        <v>85</v>
      </c>
      <c r="G5" s="83" t="s">
        <v>312</v>
      </c>
      <c r="H5" s="83">
        <v>0.23</v>
      </c>
      <c r="I5" s="83">
        <v>1</v>
      </c>
      <c r="J5" s="83">
        <v>4</v>
      </c>
      <c r="K5" s="83">
        <v>653.88</v>
      </c>
      <c r="L5" s="83">
        <v>137.38999999999999</v>
      </c>
      <c r="M5" s="83">
        <v>94</v>
      </c>
      <c r="N5" s="83">
        <v>25</v>
      </c>
      <c r="O5" s="90">
        <f>VLOOKUP(E5,'Прайс Лазер'!$I$4:$J$21,2,0)</f>
        <v>1.7249999999999999</v>
      </c>
      <c r="P5" s="83">
        <f>HLOOKUP('Оценка лазера'!$E5,'Прайс Лазер'!$C$26:$T$34,1+VLOOKUP(F5,'Прайс Лазер'!$A$26:$B$34,2,0),0)</f>
        <v>26.45</v>
      </c>
      <c r="Q5" s="83">
        <f t="shared" si="0"/>
        <v>21.62</v>
      </c>
      <c r="R5" s="83">
        <f t="shared" si="1"/>
        <v>25</v>
      </c>
      <c r="S5" s="83">
        <f t="shared" si="2"/>
        <v>29.922000650000001</v>
      </c>
      <c r="T5" s="83">
        <f t="shared" si="3"/>
        <v>76.542000650000006</v>
      </c>
      <c r="U5" s="83">
        <f t="shared" si="4"/>
        <v>229.62600195000002</v>
      </c>
      <c r="V5" s="94">
        <f t="shared" si="5"/>
        <v>191.35500162500003</v>
      </c>
    </row>
    <row r="6" spans="1:22" ht="15">
      <c r="A6" s="93">
        <f t="shared" si="6"/>
        <v>4</v>
      </c>
      <c r="B6" s="83" t="s">
        <v>318</v>
      </c>
      <c r="C6" s="83" t="s">
        <v>315</v>
      </c>
      <c r="D6" s="83">
        <v>2</v>
      </c>
      <c r="E6" s="83">
        <v>1.5</v>
      </c>
      <c r="F6" s="91" t="s">
        <v>85</v>
      </c>
      <c r="G6" s="83" t="s">
        <v>312</v>
      </c>
      <c r="H6" s="83">
        <v>2.17</v>
      </c>
      <c r="I6" s="83">
        <v>3</v>
      </c>
      <c r="J6" s="83">
        <v>0</v>
      </c>
      <c r="K6" s="83">
        <v>1916.44</v>
      </c>
      <c r="L6" s="83">
        <v>0</v>
      </c>
      <c r="M6" s="83">
        <v>94</v>
      </c>
      <c r="N6" s="83">
        <v>25</v>
      </c>
      <c r="O6" s="90">
        <f>VLOOKUP(E6,'Прайс Лазер'!$I$4:$J$21,2,0)</f>
        <v>1.7249999999999999</v>
      </c>
      <c r="P6" s="83">
        <f>HLOOKUP('Оценка лазера'!$E6,'Прайс Лазер'!$C$26:$T$34,1+VLOOKUP(F6,'Прайс Лазер'!$A$26:$B$34,2,0),0)</f>
        <v>26.45</v>
      </c>
      <c r="Q6" s="83">
        <f t="shared" si="0"/>
        <v>203.98</v>
      </c>
      <c r="R6" s="83">
        <f t="shared" si="1"/>
        <v>75</v>
      </c>
      <c r="S6" s="83">
        <f t="shared" si="2"/>
        <v>55.758821800000007</v>
      </c>
      <c r="T6" s="83">
        <f t="shared" si="3"/>
        <v>334.73882180000004</v>
      </c>
      <c r="U6" s="83">
        <f t="shared" si="4"/>
        <v>669.47764360000008</v>
      </c>
      <c r="V6" s="94">
        <f t="shared" si="5"/>
        <v>557.89803633333338</v>
      </c>
    </row>
    <row r="7" spans="1:22" ht="15">
      <c r="A7" s="93">
        <f t="shared" si="6"/>
        <v>5</v>
      </c>
      <c r="B7" s="83" t="s">
        <v>314</v>
      </c>
      <c r="C7" s="83" t="s">
        <v>315</v>
      </c>
      <c r="D7" s="83">
        <v>1</v>
      </c>
      <c r="E7" s="83">
        <v>1.5</v>
      </c>
      <c r="F7" s="91" t="s">
        <v>85</v>
      </c>
      <c r="G7" s="83" t="s">
        <v>312</v>
      </c>
      <c r="H7" s="83">
        <v>4.28</v>
      </c>
      <c r="I7" s="83">
        <v>4</v>
      </c>
      <c r="J7" s="83">
        <v>4</v>
      </c>
      <c r="K7" s="83">
        <v>3096.54</v>
      </c>
      <c r="L7" s="83">
        <v>81.680000000000007</v>
      </c>
      <c r="M7" s="83">
        <v>94</v>
      </c>
      <c r="N7" s="83">
        <v>25</v>
      </c>
      <c r="O7" s="90">
        <f>VLOOKUP(E7,'Прайс Лазер'!$I$4:$J$21,2,0)</f>
        <v>1.7249999999999999</v>
      </c>
      <c r="P7" s="83">
        <f>HLOOKUP('Оценка лазера'!$E7,'Прайс Лазер'!$C$26:$T$34,1+VLOOKUP(F7,'Прайс Лазер'!$A$26:$B$34,2,0),0)</f>
        <v>26.45</v>
      </c>
      <c r="Q7" s="83">
        <f t="shared" si="0"/>
        <v>402.32000000000005</v>
      </c>
      <c r="R7" s="83">
        <f t="shared" si="1"/>
        <v>100</v>
      </c>
      <c r="S7" s="83">
        <f t="shared" si="2"/>
        <v>99.370310899999993</v>
      </c>
      <c r="T7" s="83">
        <f t="shared" si="3"/>
        <v>601.69031089999999</v>
      </c>
      <c r="U7" s="83">
        <f t="shared" si="4"/>
        <v>601.69031089999999</v>
      </c>
      <c r="V7" s="94">
        <f t="shared" si="5"/>
        <v>501.40859241666669</v>
      </c>
    </row>
    <row r="8" spans="1:22" ht="15">
      <c r="A8" s="93">
        <f t="shared" si="6"/>
        <v>6</v>
      </c>
      <c r="B8" s="83" t="s">
        <v>317</v>
      </c>
      <c r="C8" s="83" t="s">
        <v>301</v>
      </c>
      <c r="D8" s="83">
        <v>2</v>
      </c>
      <c r="E8" s="83">
        <v>1.5</v>
      </c>
      <c r="F8" s="91" t="s">
        <v>85</v>
      </c>
      <c r="G8" s="83" t="s">
        <v>312</v>
      </c>
      <c r="H8" s="83">
        <v>0.3</v>
      </c>
      <c r="I8" s="83">
        <v>1</v>
      </c>
      <c r="J8" s="83">
        <v>16</v>
      </c>
      <c r="K8" s="83">
        <v>1470.9</v>
      </c>
      <c r="L8" s="83">
        <v>420.97</v>
      </c>
      <c r="M8" s="83">
        <v>94</v>
      </c>
      <c r="N8" s="83">
        <v>25</v>
      </c>
      <c r="O8" s="90">
        <f>VLOOKUP(E8,'Прайс Лазер'!$I$4:$J$21,2,0)</f>
        <v>1.7249999999999999</v>
      </c>
      <c r="P8" s="83">
        <f>HLOOKUP('Оценка лазера'!$E8,'Прайс Лазер'!$C$26:$T$34,1+VLOOKUP(F8,'Прайс Лазер'!$A$26:$B$34,2,0),0)</f>
        <v>26.45</v>
      </c>
      <c r="Q8" s="83">
        <f t="shared" si="0"/>
        <v>28.2</v>
      </c>
      <c r="R8" s="83">
        <f t="shared" si="1"/>
        <v>25</v>
      </c>
      <c r="S8" s="83">
        <f t="shared" si="2"/>
        <v>82.643957650000004</v>
      </c>
      <c r="T8" s="83">
        <f t="shared" si="3"/>
        <v>135.84395764999999</v>
      </c>
      <c r="U8" s="83">
        <f t="shared" si="4"/>
        <v>271.68791529999999</v>
      </c>
      <c r="V8" s="94">
        <f t="shared" si="5"/>
        <v>226.40659608333334</v>
      </c>
    </row>
    <row r="9" spans="1:22" ht="15">
      <c r="A9" s="93">
        <f t="shared" si="6"/>
        <v>7</v>
      </c>
      <c r="B9" s="83" t="s">
        <v>319</v>
      </c>
      <c r="C9" s="83" t="s">
        <v>301</v>
      </c>
      <c r="D9" s="83">
        <v>2</v>
      </c>
      <c r="E9" s="83">
        <v>1.5</v>
      </c>
      <c r="F9" s="91" t="s">
        <v>85</v>
      </c>
      <c r="G9" s="83" t="s">
        <v>312</v>
      </c>
      <c r="H9" s="83">
        <v>0.32</v>
      </c>
      <c r="I9" s="83">
        <v>1</v>
      </c>
      <c r="J9" s="83">
        <v>16</v>
      </c>
      <c r="K9" s="83">
        <v>1569.69</v>
      </c>
      <c r="L9" s="83">
        <v>420.97</v>
      </c>
      <c r="M9" s="83">
        <v>94</v>
      </c>
      <c r="N9" s="83">
        <v>25</v>
      </c>
      <c r="O9" s="90">
        <f>VLOOKUP(E9,'Прайс Лазер'!$I$4:$J$21,2,0)</f>
        <v>1.7249999999999999</v>
      </c>
      <c r="P9" s="83">
        <f>HLOOKUP('Оценка лазера'!$E9,'Прайс Лазер'!$C$26:$T$34,1+VLOOKUP(F9,'Прайс Лазер'!$A$26:$B$34,2,0),0)</f>
        <v>26.45</v>
      </c>
      <c r="Q9" s="83">
        <f t="shared" si="0"/>
        <v>30.080000000000002</v>
      </c>
      <c r="R9" s="83">
        <f t="shared" si="1"/>
        <v>25</v>
      </c>
      <c r="S9" s="83">
        <f t="shared" si="2"/>
        <v>85.518252700000005</v>
      </c>
      <c r="T9" s="83">
        <f t="shared" si="3"/>
        <v>140.59825269999999</v>
      </c>
      <c r="U9" s="83">
        <f t="shared" si="4"/>
        <v>281.19650539999998</v>
      </c>
      <c r="V9" s="94">
        <f t="shared" si="5"/>
        <v>234.33042116666667</v>
      </c>
    </row>
    <row r="10" spans="1:22" ht="15">
      <c r="A10" s="93">
        <f t="shared" si="6"/>
        <v>8</v>
      </c>
      <c r="B10" s="83" t="s">
        <v>321</v>
      </c>
      <c r="C10" s="83" t="s">
        <v>315</v>
      </c>
      <c r="D10" s="83">
        <v>1</v>
      </c>
      <c r="E10" s="83">
        <v>1.5</v>
      </c>
      <c r="F10" s="91" t="s">
        <v>85</v>
      </c>
      <c r="G10" s="83" t="s">
        <v>312</v>
      </c>
      <c r="H10" s="83">
        <v>1.92</v>
      </c>
      <c r="I10" s="83">
        <v>3</v>
      </c>
      <c r="J10" s="83">
        <v>3</v>
      </c>
      <c r="K10" s="83">
        <v>1765.44</v>
      </c>
      <c r="L10" s="83">
        <v>61.26</v>
      </c>
      <c r="M10" s="83">
        <v>94</v>
      </c>
      <c r="N10" s="83">
        <v>25</v>
      </c>
      <c r="O10" s="90">
        <f>VLOOKUP(E10,'Прайс Лазер'!$I$4:$J$21,2,0)</f>
        <v>1.7249999999999999</v>
      </c>
      <c r="P10" s="83">
        <f>HLOOKUP('Оценка лазера'!$E10,'Прайс Лазер'!$C$26:$T$34,1+VLOOKUP(F10,'Прайс Лазер'!$A$26:$B$34,2,0),0)</f>
        <v>26.45</v>
      </c>
      <c r="Q10" s="83">
        <f t="shared" si="0"/>
        <v>180.48</v>
      </c>
      <c r="R10" s="83">
        <f t="shared" si="1"/>
        <v>75</v>
      </c>
      <c r="S10" s="83">
        <f t="shared" si="2"/>
        <v>58.322836500000001</v>
      </c>
      <c r="T10" s="83">
        <f t="shared" si="3"/>
        <v>313.80283650000001</v>
      </c>
      <c r="U10" s="83">
        <f t="shared" si="4"/>
        <v>313.80283650000001</v>
      </c>
      <c r="V10" s="94">
        <f t="shared" si="5"/>
        <v>261.50236375000003</v>
      </c>
    </row>
    <row r="11" spans="1:22" ht="15">
      <c r="A11" s="93">
        <f t="shared" si="6"/>
        <v>9</v>
      </c>
      <c r="B11" s="83" t="s">
        <v>320</v>
      </c>
      <c r="C11" s="83" t="s">
        <v>301</v>
      </c>
      <c r="D11" s="83">
        <v>1</v>
      </c>
      <c r="E11" s="83">
        <v>1.5</v>
      </c>
      <c r="F11" s="91" t="s">
        <v>85</v>
      </c>
      <c r="G11" s="83" t="s">
        <v>312</v>
      </c>
      <c r="H11" s="83">
        <v>0.7</v>
      </c>
      <c r="I11" s="83">
        <v>2</v>
      </c>
      <c r="J11" s="83">
        <v>10</v>
      </c>
      <c r="K11" s="83">
        <v>1698.86</v>
      </c>
      <c r="L11" s="83">
        <v>282.74</v>
      </c>
      <c r="M11" s="83">
        <v>94</v>
      </c>
      <c r="N11" s="83">
        <v>25</v>
      </c>
      <c r="O11" s="90">
        <f>VLOOKUP(E11,'Прайс Лазер'!$I$4:$J$21,2,0)</f>
        <v>1.7249999999999999</v>
      </c>
      <c r="P11" s="83">
        <f>HLOOKUP('Оценка лазера'!$E11,'Прайс Лазер'!$C$26:$T$34,1+VLOOKUP(F11,'Прайс Лазер'!$A$26:$B$34,2,0),0)</f>
        <v>26.45</v>
      </c>
      <c r="Q11" s="83">
        <f t="shared" si="0"/>
        <v>65.8</v>
      </c>
      <c r="R11" s="83">
        <f t="shared" si="1"/>
        <v>50</v>
      </c>
      <c r="S11" s="83">
        <f t="shared" si="2"/>
        <v>74.904651999999999</v>
      </c>
      <c r="T11" s="83">
        <f t="shared" si="3"/>
        <v>190.70465200000001</v>
      </c>
      <c r="U11" s="83">
        <f t="shared" si="4"/>
        <v>190.70465200000001</v>
      </c>
      <c r="V11" s="94">
        <f t="shared" si="5"/>
        <v>158.92054333333334</v>
      </c>
    </row>
    <row r="12" spans="1:22" ht="15">
      <c r="A12" s="93">
        <f t="shared" si="6"/>
        <v>10</v>
      </c>
      <c r="B12" s="83" t="s">
        <v>324</v>
      </c>
      <c r="C12" s="83" t="s">
        <v>301</v>
      </c>
      <c r="D12" s="83">
        <v>1</v>
      </c>
      <c r="E12" s="83">
        <v>1.5</v>
      </c>
      <c r="F12" s="91" t="s">
        <v>85</v>
      </c>
      <c r="G12" s="83" t="s">
        <v>312</v>
      </c>
      <c r="H12" s="83">
        <v>0.39</v>
      </c>
      <c r="I12" s="83">
        <v>2</v>
      </c>
      <c r="J12" s="83">
        <v>8</v>
      </c>
      <c r="K12" s="83">
        <v>1595.77</v>
      </c>
      <c r="L12" s="83">
        <v>226.19</v>
      </c>
      <c r="M12" s="83">
        <v>94</v>
      </c>
      <c r="N12" s="83">
        <v>25</v>
      </c>
      <c r="O12" s="90">
        <f>VLOOKUP(E12,'Прайс Лазер'!$I$4:$J$21,2,0)</f>
        <v>1.7249999999999999</v>
      </c>
      <c r="P12" s="83">
        <f>HLOOKUP('Оценка лазера'!$E12,'Прайс Лазер'!$C$26:$T$34,1+VLOOKUP(F12,'Прайс Лазер'!$A$26:$B$34,2,0),0)</f>
        <v>26.45</v>
      </c>
      <c r="Q12" s="83">
        <f t="shared" si="0"/>
        <v>36.660000000000004</v>
      </c>
      <c r="R12" s="83">
        <f t="shared" si="1"/>
        <v>50</v>
      </c>
      <c r="S12" s="83">
        <f t="shared" si="2"/>
        <v>66.809926200000007</v>
      </c>
      <c r="T12" s="83">
        <f t="shared" si="3"/>
        <v>153.4699262</v>
      </c>
      <c r="U12" s="83">
        <f t="shared" si="4"/>
        <v>153.4699262</v>
      </c>
      <c r="V12" s="94">
        <f t="shared" si="5"/>
        <v>127.89160516666668</v>
      </c>
    </row>
    <row r="13" spans="1:22" ht="15">
      <c r="A13" s="93">
        <f t="shared" si="6"/>
        <v>11</v>
      </c>
      <c r="B13" s="83" t="s">
        <v>325</v>
      </c>
      <c r="C13" s="83" t="s">
        <v>326</v>
      </c>
      <c r="D13" s="83">
        <v>2</v>
      </c>
      <c r="E13" s="83">
        <v>2</v>
      </c>
      <c r="F13" s="91" t="s">
        <v>85</v>
      </c>
      <c r="G13" s="83" t="s">
        <v>312</v>
      </c>
      <c r="H13" s="83">
        <v>0.09</v>
      </c>
      <c r="I13" s="83">
        <v>1</v>
      </c>
      <c r="J13" s="83">
        <v>5</v>
      </c>
      <c r="K13" s="83">
        <v>324.37</v>
      </c>
      <c r="L13" s="83">
        <v>198.48</v>
      </c>
      <c r="M13" s="83">
        <v>94</v>
      </c>
      <c r="N13" s="83">
        <v>25</v>
      </c>
      <c r="O13" s="90">
        <f>VLOOKUP(E13,'Прайс Лазер'!$I$4:$J$21,2,0)</f>
        <v>2.2999999999999998</v>
      </c>
      <c r="P13" s="83">
        <f>HLOOKUP('Оценка лазера'!$E13,'Прайс Лазер'!$C$26:$T$34,1+VLOOKUP(F13,'Прайс Лазер'!$A$26:$B$34,2,0),0)</f>
        <v>28.749999999999996</v>
      </c>
      <c r="Q13" s="83">
        <f t="shared" si="0"/>
        <v>8.4599999999999991</v>
      </c>
      <c r="R13" s="83">
        <f t="shared" si="1"/>
        <v>25</v>
      </c>
      <c r="S13" s="83">
        <f t="shared" si="2"/>
        <v>28.035131249999999</v>
      </c>
      <c r="T13" s="83">
        <f t="shared" si="3"/>
        <v>61.49513125</v>
      </c>
      <c r="U13" s="83">
        <f t="shared" si="4"/>
        <v>122.9902625</v>
      </c>
      <c r="V13" s="94">
        <f t="shared" si="5"/>
        <v>102.49188541666668</v>
      </c>
    </row>
    <row r="14" spans="1:22" ht="15">
      <c r="A14" s="93">
        <f t="shared" si="6"/>
        <v>12</v>
      </c>
      <c r="B14" s="83" t="s">
        <v>336</v>
      </c>
      <c r="C14" s="83" t="s">
        <v>337</v>
      </c>
      <c r="D14" s="83">
        <v>2</v>
      </c>
      <c r="E14" s="83">
        <v>2</v>
      </c>
      <c r="F14" s="91" t="s">
        <v>85</v>
      </c>
      <c r="G14" s="83" t="s">
        <v>333</v>
      </c>
      <c r="H14" s="83">
        <v>0.04</v>
      </c>
      <c r="I14" s="83">
        <v>0</v>
      </c>
      <c r="J14" s="83">
        <v>2</v>
      </c>
      <c r="K14" s="83">
        <v>249.87</v>
      </c>
      <c r="L14" s="83">
        <v>40.840000000000003</v>
      </c>
      <c r="M14" s="83">
        <v>94</v>
      </c>
      <c r="N14" s="83">
        <v>25</v>
      </c>
      <c r="O14" s="90">
        <f>VLOOKUP(E14,'Прайс Лазер'!$I$4:$J$21,2,0)</f>
        <v>2.2999999999999998</v>
      </c>
      <c r="P14" s="83">
        <f>HLOOKUP('Оценка лазера'!$E14,'Прайс Лазер'!$C$26:$T$34,1+VLOOKUP(F14,'Прайс Лазер'!$A$26:$B$34,2,0),0)</f>
        <v>28.749999999999996</v>
      </c>
      <c r="Q14" s="83">
        <f t="shared" si="0"/>
        <v>3.7600000000000002</v>
      </c>
      <c r="R14" s="83">
        <f t="shared" si="1"/>
        <v>0</v>
      </c>
      <c r="S14" s="83">
        <f t="shared" si="2"/>
        <v>13.793703749999999</v>
      </c>
      <c r="T14" s="83">
        <f t="shared" si="3"/>
        <v>17.55370375</v>
      </c>
      <c r="U14" s="83">
        <f t="shared" si="4"/>
        <v>35.107407500000001</v>
      </c>
      <c r="V14" s="94">
        <f t="shared" si="5"/>
        <v>29.256172916666667</v>
      </c>
    </row>
    <row r="15" spans="1:22" ht="15">
      <c r="A15" s="93">
        <f t="shared" si="6"/>
        <v>13</v>
      </c>
      <c r="B15" s="83" t="s">
        <v>328</v>
      </c>
      <c r="C15" s="83" t="s">
        <v>329</v>
      </c>
      <c r="D15" s="83">
        <v>2</v>
      </c>
      <c r="E15" s="83">
        <v>2</v>
      </c>
      <c r="F15" s="91" t="s">
        <v>85</v>
      </c>
      <c r="G15" s="83" t="s">
        <v>312</v>
      </c>
      <c r="H15" s="83">
        <v>0.32</v>
      </c>
      <c r="I15" s="83">
        <v>2</v>
      </c>
      <c r="J15" s="83">
        <v>4</v>
      </c>
      <c r="K15" s="83">
        <v>807.01</v>
      </c>
      <c r="L15" s="83">
        <v>81.680000000000007</v>
      </c>
      <c r="M15" s="83">
        <v>94</v>
      </c>
      <c r="N15" s="83">
        <v>25</v>
      </c>
      <c r="O15" s="90">
        <f>VLOOKUP(E15,'Прайс Лазер'!$I$4:$J$21,2,0)</f>
        <v>2.2999999999999998</v>
      </c>
      <c r="P15" s="83">
        <f>HLOOKUP('Оценка лазера'!$E15,'Прайс Лазер'!$C$26:$T$34,1+VLOOKUP(F15,'Прайс Лазер'!$A$26:$B$34,2,0),0)</f>
        <v>28.749999999999996</v>
      </c>
      <c r="Q15" s="83">
        <f t="shared" si="0"/>
        <v>30.080000000000002</v>
      </c>
      <c r="R15" s="83">
        <f t="shared" si="1"/>
        <v>50</v>
      </c>
      <c r="S15" s="83">
        <f t="shared" si="2"/>
        <v>37.304821250000003</v>
      </c>
      <c r="T15" s="83">
        <f t="shared" si="3"/>
        <v>117.38482125</v>
      </c>
      <c r="U15" s="83">
        <f t="shared" si="4"/>
        <v>234.7696425</v>
      </c>
      <c r="V15" s="94">
        <f t="shared" si="5"/>
        <v>195.64136875</v>
      </c>
    </row>
    <row r="16" spans="1:22" ht="15">
      <c r="A16" s="93">
        <f t="shared" si="6"/>
        <v>14</v>
      </c>
      <c r="B16" s="83" t="s">
        <v>338</v>
      </c>
      <c r="C16" s="83" t="s">
        <v>339</v>
      </c>
      <c r="D16" s="83">
        <v>4</v>
      </c>
      <c r="E16" s="83">
        <v>2</v>
      </c>
      <c r="F16" s="91" t="s">
        <v>85</v>
      </c>
      <c r="G16" s="83" t="s">
        <v>333</v>
      </c>
      <c r="H16" s="83">
        <v>0.1</v>
      </c>
      <c r="I16" s="83">
        <v>0</v>
      </c>
      <c r="J16" s="83">
        <v>0</v>
      </c>
      <c r="K16" s="83">
        <v>341.62</v>
      </c>
      <c r="L16" s="83">
        <v>0</v>
      </c>
      <c r="M16" s="83">
        <v>94</v>
      </c>
      <c r="N16" s="83">
        <v>25</v>
      </c>
      <c r="O16" s="90">
        <f>VLOOKUP(E16,'Прайс Лазер'!$I$4:$J$21,2,0)</f>
        <v>2.2999999999999998</v>
      </c>
      <c r="P16" s="83">
        <f>HLOOKUP('Оценка лазера'!$E16,'Прайс Лазер'!$C$26:$T$34,1+VLOOKUP(F16,'Прайс Лазер'!$A$26:$B$34,2,0),0)</f>
        <v>28.749999999999996</v>
      </c>
      <c r="Q16" s="83">
        <f t="shared" si="0"/>
        <v>9.4</v>
      </c>
      <c r="R16" s="83">
        <f t="shared" si="1"/>
        <v>0</v>
      </c>
      <c r="S16" s="83">
        <f t="shared" si="2"/>
        <v>10.803732499999999</v>
      </c>
      <c r="T16" s="83">
        <f t="shared" si="3"/>
        <v>20.203732500000001</v>
      </c>
      <c r="U16" s="83">
        <f t="shared" si="4"/>
        <v>80.814930000000004</v>
      </c>
      <c r="V16" s="94">
        <f t="shared" si="5"/>
        <v>67.345775000000003</v>
      </c>
    </row>
    <row r="17" spans="1:22" ht="15">
      <c r="A17" s="93">
        <f t="shared" si="6"/>
        <v>15</v>
      </c>
      <c r="B17" s="83" t="s">
        <v>327</v>
      </c>
      <c r="C17" s="83" t="s">
        <v>301</v>
      </c>
      <c r="D17" s="83">
        <v>2</v>
      </c>
      <c r="E17" s="83">
        <v>2</v>
      </c>
      <c r="F17" s="91" t="s">
        <v>85</v>
      </c>
      <c r="G17" s="83" t="s">
        <v>312</v>
      </c>
      <c r="H17" s="83">
        <v>0.65</v>
      </c>
      <c r="I17" s="83">
        <v>2</v>
      </c>
      <c r="J17" s="83">
        <v>24</v>
      </c>
      <c r="K17" s="83">
        <v>1555.01</v>
      </c>
      <c r="L17" s="83">
        <v>490.09</v>
      </c>
      <c r="M17" s="83">
        <v>94</v>
      </c>
      <c r="N17" s="83">
        <v>25</v>
      </c>
      <c r="O17" s="90">
        <f>VLOOKUP(E17,'Прайс Лазер'!$I$4:$J$21,2,0)</f>
        <v>2.2999999999999998</v>
      </c>
      <c r="P17" s="83">
        <f>HLOOKUP('Оценка лазера'!$E17,'Прайс Лазер'!$C$26:$T$34,1+VLOOKUP(F17,'Прайс Лазер'!$A$26:$B$34,2,0),0)</f>
        <v>28.749999999999996</v>
      </c>
      <c r="Q17" s="83">
        <f t="shared" si="0"/>
        <v>61.1</v>
      </c>
      <c r="R17" s="83">
        <f t="shared" si="1"/>
        <v>50</v>
      </c>
      <c r="S17" s="83">
        <f t="shared" si="2"/>
        <v>119.87628749999999</v>
      </c>
      <c r="T17" s="83">
        <f t="shared" si="3"/>
        <v>230.97628749999998</v>
      </c>
      <c r="U17" s="83">
        <f t="shared" si="4"/>
        <v>461.95257499999997</v>
      </c>
      <c r="V17" s="94">
        <f t="shared" si="5"/>
        <v>384.96047916666663</v>
      </c>
    </row>
    <row r="18" spans="1:22" ht="15">
      <c r="A18" s="93">
        <f t="shared" si="6"/>
        <v>16</v>
      </c>
      <c r="B18" s="83" t="s">
        <v>345</v>
      </c>
      <c r="C18" s="83" t="s">
        <v>342</v>
      </c>
      <c r="D18" s="83">
        <v>1</v>
      </c>
      <c r="E18" s="83">
        <v>3</v>
      </c>
      <c r="F18" s="91" t="s">
        <v>85</v>
      </c>
      <c r="G18" s="83" t="s">
        <v>333</v>
      </c>
      <c r="H18" s="83">
        <v>0.06</v>
      </c>
      <c r="I18" s="83">
        <v>0</v>
      </c>
      <c r="J18" s="83">
        <v>2</v>
      </c>
      <c r="K18" s="83">
        <v>257.82</v>
      </c>
      <c r="L18" s="83">
        <v>40.840000000000003</v>
      </c>
      <c r="M18" s="83">
        <v>94</v>
      </c>
      <c r="N18" s="83">
        <v>25</v>
      </c>
      <c r="O18" s="90">
        <f>VLOOKUP(E18,'Прайс Лазер'!$I$4:$J$21,2,0)</f>
        <v>2.2999999999999998</v>
      </c>
      <c r="P18" s="83">
        <f>HLOOKUP('Оценка лазера'!$E18,'Прайс Лазер'!$C$26:$T$34,1+VLOOKUP(F18,'Прайс Лазер'!$A$26:$B$34,2,0),0)</f>
        <v>40.25</v>
      </c>
      <c r="Q18" s="83">
        <f t="shared" si="0"/>
        <v>5.64</v>
      </c>
      <c r="R18" s="83">
        <f t="shared" si="1"/>
        <v>0</v>
      </c>
      <c r="S18" s="83">
        <f t="shared" si="2"/>
        <v>17.823171500000001</v>
      </c>
      <c r="T18" s="83">
        <f t="shared" si="3"/>
        <v>23.463171500000001</v>
      </c>
      <c r="U18" s="83">
        <f t="shared" si="4"/>
        <v>23.463171500000001</v>
      </c>
      <c r="V18" s="94">
        <f t="shared" si="5"/>
        <v>19.55264291666667</v>
      </c>
    </row>
    <row r="19" spans="1:22" ht="15">
      <c r="A19" s="93">
        <f>A18+1</f>
        <v>17</v>
      </c>
      <c r="B19" s="83" t="s">
        <v>346</v>
      </c>
      <c r="C19" s="83" t="s">
        <v>347</v>
      </c>
      <c r="D19" s="83">
        <v>1</v>
      </c>
      <c r="E19" s="83">
        <v>3</v>
      </c>
      <c r="F19" s="91" t="s">
        <v>85</v>
      </c>
      <c r="G19" s="83" t="s">
        <v>333</v>
      </c>
      <c r="H19" s="83">
        <v>0.32</v>
      </c>
      <c r="I19" s="83">
        <v>0</v>
      </c>
      <c r="J19" s="83">
        <v>1</v>
      </c>
      <c r="K19" s="83">
        <v>442.2</v>
      </c>
      <c r="L19" s="83">
        <v>87.96</v>
      </c>
      <c r="M19" s="83">
        <v>94</v>
      </c>
      <c r="N19" s="83">
        <v>25</v>
      </c>
      <c r="O19" s="90">
        <f>VLOOKUP(E19,'Прайс Лазер'!$I$4:$J$21,2,0)</f>
        <v>2.2999999999999998</v>
      </c>
      <c r="P19" s="83">
        <f>HLOOKUP('Оценка лазера'!$E19,'Прайс Лазер'!$C$26:$T$34,1+VLOOKUP(F19,'Прайс Лазер'!$A$26:$B$34,2,0),0)</f>
        <v>40.25</v>
      </c>
      <c r="Q19" s="83">
        <f t="shared" ref="Q19:Q66" si="7">H19*M19</f>
        <v>30.080000000000002</v>
      </c>
      <c r="R19" s="83">
        <f t="shared" ref="R19:R66" si="8">I19*N19</f>
        <v>0</v>
      </c>
      <c r="S19" s="83">
        <f t="shared" ref="S19:S66" si="9">(K19+L19)/1000*1.1*P19+(J19*O19)</f>
        <v>25.772834000000003</v>
      </c>
      <c r="T19" s="83">
        <f t="shared" ref="T19:T67" si="10">Q19+R19+S19</f>
        <v>55.852834000000001</v>
      </c>
      <c r="U19" s="83">
        <f t="shared" ref="U19:U66" si="11">D19*T19</f>
        <v>55.852834000000001</v>
      </c>
      <c r="V19" s="94">
        <f t="shared" ref="V19:V67" si="12">U19/1.2</f>
        <v>46.544028333333337</v>
      </c>
    </row>
    <row r="20" spans="1:22" ht="15">
      <c r="A20" s="93">
        <f t="shared" si="6"/>
        <v>18</v>
      </c>
      <c r="B20" s="83" t="s">
        <v>331</v>
      </c>
      <c r="C20" s="83" t="s">
        <v>329</v>
      </c>
      <c r="D20" s="83">
        <v>2</v>
      </c>
      <c r="E20" s="83">
        <v>2</v>
      </c>
      <c r="F20" s="91" t="s">
        <v>85</v>
      </c>
      <c r="G20" s="83" t="s">
        <v>312</v>
      </c>
      <c r="H20" s="83">
        <v>0.28000000000000003</v>
      </c>
      <c r="I20" s="83">
        <v>2</v>
      </c>
      <c r="J20" s="83">
        <v>10</v>
      </c>
      <c r="K20" s="83">
        <v>637.01</v>
      </c>
      <c r="L20" s="83">
        <v>204.2</v>
      </c>
      <c r="M20" s="83">
        <v>94</v>
      </c>
      <c r="N20" s="83">
        <v>25</v>
      </c>
      <c r="O20" s="90">
        <f>VLOOKUP(E20,'Прайс Лазер'!$I$4:$J$21,2,0)</f>
        <v>2.2999999999999998</v>
      </c>
      <c r="P20" s="83">
        <f>HLOOKUP('Оценка лазера'!$E20,'Прайс Лазер'!$C$26:$T$34,1+VLOOKUP(F20,'Прайс Лазер'!$A$26:$B$34,2,0),0)</f>
        <v>28.749999999999996</v>
      </c>
      <c r="Q20" s="83">
        <f t="shared" si="7"/>
        <v>26.320000000000004</v>
      </c>
      <c r="R20" s="83">
        <f t="shared" si="8"/>
        <v>50</v>
      </c>
      <c r="S20" s="83">
        <f t="shared" si="9"/>
        <v>49.603266250000004</v>
      </c>
      <c r="T20" s="83">
        <f t="shared" si="10"/>
        <v>125.92326625000001</v>
      </c>
      <c r="U20" s="83">
        <f t="shared" si="11"/>
        <v>251.84653250000002</v>
      </c>
      <c r="V20" s="94">
        <f t="shared" si="12"/>
        <v>209.87211041666669</v>
      </c>
    </row>
    <row r="21" spans="1:22" ht="15">
      <c r="A21" s="93">
        <f t="shared" si="6"/>
        <v>19</v>
      </c>
      <c r="B21" s="83" t="s">
        <v>330</v>
      </c>
      <c r="C21" s="83" t="s">
        <v>329</v>
      </c>
      <c r="D21" s="83">
        <v>1</v>
      </c>
      <c r="E21" s="83">
        <v>2</v>
      </c>
      <c r="F21" s="91" t="s">
        <v>85</v>
      </c>
      <c r="G21" s="83" t="s">
        <v>312</v>
      </c>
      <c r="H21" s="83">
        <v>1.23</v>
      </c>
      <c r="I21" s="83">
        <v>2</v>
      </c>
      <c r="J21" s="83">
        <v>0</v>
      </c>
      <c r="K21" s="83">
        <v>2489.0100000000002</v>
      </c>
      <c r="L21" s="83">
        <v>0</v>
      </c>
      <c r="M21" s="83">
        <v>94</v>
      </c>
      <c r="N21" s="83">
        <v>25</v>
      </c>
      <c r="O21" s="90">
        <f>VLOOKUP(E21,'Прайс Лазер'!$I$4:$J$21,2,0)</f>
        <v>2.2999999999999998</v>
      </c>
      <c r="P21" s="83">
        <f>HLOOKUP('Оценка лазера'!$E21,'Прайс Лазер'!$C$26:$T$34,1+VLOOKUP(F21,'Прайс Лазер'!$A$26:$B$34,2,0),0)</f>
        <v>28.749999999999996</v>
      </c>
      <c r="Q21" s="83">
        <f t="shared" si="7"/>
        <v>115.62</v>
      </c>
      <c r="R21" s="83">
        <f t="shared" si="8"/>
        <v>50</v>
      </c>
      <c r="S21" s="83">
        <f t="shared" si="9"/>
        <v>78.71494125000001</v>
      </c>
      <c r="T21" s="83">
        <f t="shared" si="10"/>
        <v>244.33494125000001</v>
      </c>
      <c r="U21" s="83">
        <f t="shared" si="11"/>
        <v>244.33494125000001</v>
      </c>
      <c r="V21" s="94">
        <f t="shared" si="12"/>
        <v>203.61245104166667</v>
      </c>
    </row>
    <row r="22" spans="1:22" ht="15">
      <c r="A22" s="93">
        <f t="shared" si="6"/>
        <v>20</v>
      </c>
      <c r="B22" s="83" t="s">
        <v>340</v>
      </c>
      <c r="C22" s="83" t="s">
        <v>335</v>
      </c>
      <c r="D22" s="83">
        <v>2</v>
      </c>
      <c r="E22" s="83">
        <v>2</v>
      </c>
      <c r="F22" s="91" t="s">
        <v>85</v>
      </c>
      <c r="G22" s="83" t="s">
        <v>333</v>
      </c>
      <c r="H22" s="83">
        <v>0.02</v>
      </c>
      <c r="I22" s="83">
        <v>0</v>
      </c>
      <c r="J22" s="83">
        <v>0</v>
      </c>
      <c r="K22" s="83">
        <v>144.85</v>
      </c>
      <c r="L22" s="83">
        <v>0</v>
      </c>
      <c r="M22" s="83">
        <v>94</v>
      </c>
      <c r="N22" s="83">
        <v>25</v>
      </c>
      <c r="O22" s="90">
        <f>VLOOKUP(E22,'Прайс Лазер'!$I$4:$J$21,2,0)</f>
        <v>2.2999999999999998</v>
      </c>
      <c r="P22" s="83">
        <f>HLOOKUP('Оценка лазера'!$E22,'Прайс Лазер'!$C$26:$T$34,1+VLOOKUP(F22,'Прайс Лазер'!$A$26:$B$34,2,0),0)</f>
        <v>28.749999999999996</v>
      </c>
      <c r="Q22" s="83">
        <f t="shared" si="7"/>
        <v>1.8800000000000001</v>
      </c>
      <c r="R22" s="83">
        <f t="shared" si="8"/>
        <v>0</v>
      </c>
      <c r="S22" s="83">
        <f t="shared" si="9"/>
        <v>4.58088125</v>
      </c>
      <c r="T22" s="83">
        <f t="shared" si="10"/>
        <v>6.4608812499999999</v>
      </c>
      <c r="U22" s="83">
        <f t="shared" si="11"/>
        <v>12.9217625</v>
      </c>
      <c r="V22" s="94">
        <f t="shared" si="12"/>
        <v>10.768135416666667</v>
      </c>
    </row>
    <row r="23" spans="1:22" ht="15">
      <c r="A23" s="93">
        <f t="shared" si="6"/>
        <v>21</v>
      </c>
      <c r="B23" s="83" t="s">
        <v>341</v>
      </c>
      <c r="C23" s="83" t="s">
        <v>342</v>
      </c>
      <c r="D23" s="83">
        <v>2</v>
      </c>
      <c r="E23" s="83">
        <v>2</v>
      </c>
      <c r="F23" s="91" t="s">
        <v>85</v>
      </c>
      <c r="G23" s="83" t="s">
        <v>333</v>
      </c>
      <c r="H23" s="83">
        <v>0.08</v>
      </c>
      <c r="I23" s="83">
        <v>0</v>
      </c>
      <c r="J23" s="83">
        <v>4</v>
      </c>
      <c r="K23" s="83">
        <v>280</v>
      </c>
      <c r="L23" s="83">
        <v>56.55</v>
      </c>
      <c r="M23" s="83">
        <v>94</v>
      </c>
      <c r="N23" s="83">
        <v>25</v>
      </c>
      <c r="O23" s="90">
        <f>VLOOKUP(E23,'Прайс Лазер'!$I$4:$J$21,2,0)</f>
        <v>2.2999999999999998</v>
      </c>
      <c r="P23" s="83">
        <f>HLOOKUP('Оценка лазера'!$E23,'Прайс Лазер'!$C$26:$T$34,1+VLOOKUP(F23,'Прайс Лазер'!$A$26:$B$34,2,0),0)</f>
        <v>28.749999999999996</v>
      </c>
      <c r="Q23" s="83">
        <f t="shared" si="7"/>
        <v>7.5200000000000005</v>
      </c>
      <c r="R23" s="83">
        <f t="shared" si="8"/>
        <v>0</v>
      </c>
      <c r="S23" s="83">
        <f t="shared" si="9"/>
        <v>19.843393750000001</v>
      </c>
      <c r="T23" s="83">
        <f t="shared" si="10"/>
        <v>27.36339375</v>
      </c>
      <c r="U23" s="83">
        <f t="shared" si="11"/>
        <v>54.7267875</v>
      </c>
      <c r="V23" s="94">
        <f t="shared" si="12"/>
        <v>45.605656250000003</v>
      </c>
    </row>
    <row r="24" spans="1:22" ht="15">
      <c r="A24" s="93">
        <f t="shared" si="6"/>
        <v>22</v>
      </c>
      <c r="B24" s="83" t="s">
        <v>309</v>
      </c>
      <c r="C24" s="83" t="s">
        <v>310</v>
      </c>
      <c r="D24" s="83">
        <v>1</v>
      </c>
      <c r="E24" s="83">
        <v>1</v>
      </c>
      <c r="F24" s="91" t="s">
        <v>85</v>
      </c>
      <c r="G24" s="83" t="s">
        <v>312</v>
      </c>
      <c r="H24" s="83">
        <v>8.2899999999999991</v>
      </c>
      <c r="I24" s="83">
        <v>4</v>
      </c>
      <c r="J24" s="83">
        <v>6</v>
      </c>
      <c r="K24" s="83">
        <v>4212.4799999999996</v>
      </c>
      <c r="L24" s="83">
        <v>169.65</v>
      </c>
      <c r="M24" s="83">
        <v>94</v>
      </c>
      <c r="N24" s="83">
        <v>25</v>
      </c>
      <c r="O24" s="90">
        <f>VLOOKUP(E24,'Прайс Лазер'!$I$4:$J$21,2,0)</f>
        <v>1.1499999999999999</v>
      </c>
      <c r="P24" s="83">
        <f>HLOOKUP('Оценка лазера'!$E24,'Прайс Лазер'!$C$26:$T$34,1+VLOOKUP(F24,'Прайс Лазер'!$A$26:$B$34,2,0),0)</f>
        <v>21.849999999999998</v>
      </c>
      <c r="Q24" s="83">
        <f t="shared" si="7"/>
        <v>779.25999999999988</v>
      </c>
      <c r="R24" s="83">
        <f t="shared" si="8"/>
        <v>100</v>
      </c>
      <c r="S24" s="83">
        <f t="shared" si="9"/>
        <v>112.22449454999999</v>
      </c>
      <c r="T24" s="83">
        <f t="shared" si="10"/>
        <v>991.48449454999991</v>
      </c>
      <c r="U24" s="83">
        <f t="shared" si="11"/>
        <v>991.48449454999991</v>
      </c>
      <c r="V24" s="94">
        <f t="shared" si="12"/>
        <v>826.23707879166659</v>
      </c>
    </row>
    <row r="25" spans="1:22" ht="15">
      <c r="A25" s="93">
        <f t="shared" si="6"/>
        <v>23</v>
      </c>
      <c r="B25" s="83" t="s">
        <v>334</v>
      </c>
      <c r="C25" s="83" t="s">
        <v>335</v>
      </c>
      <c r="D25" s="83">
        <v>4</v>
      </c>
      <c r="E25" s="83">
        <v>2</v>
      </c>
      <c r="F25" s="91" t="s">
        <v>85</v>
      </c>
      <c r="G25" s="83" t="s">
        <v>333</v>
      </c>
      <c r="H25" s="83">
        <v>0.01</v>
      </c>
      <c r="I25" s="83">
        <v>0</v>
      </c>
      <c r="J25" s="83">
        <v>1</v>
      </c>
      <c r="K25" s="83">
        <v>94.85</v>
      </c>
      <c r="L25" s="83">
        <v>45.38</v>
      </c>
      <c r="M25" s="83">
        <v>94</v>
      </c>
      <c r="N25" s="83">
        <v>25</v>
      </c>
      <c r="O25" s="90">
        <f>VLOOKUP(E25,'Прайс Лазер'!$I$4:$J$21,2,0)</f>
        <v>2.2999999999999998</v>
      </c>
      <c r="P25" s="83">
        <f>HLOOKUP('Оценка лазера'!$E25,'Прайс Лазер'!$C$26:$T$34,1+VLOOKUP(F25,'Прайс Лазер'!$A$26:$B$34,2,0),0)</f>
        <v>28.749999999999996</v>
      </c>
      <c r="Q25" s="83">
        <f t="shared" si="7"/>
        <v>0.94000000000000006</v>
      </c>
      <c r="R25" s="83">
        <f t="shared" si="8"/>
        <v>0</v>
      </c>
      <c r="S25" s="83">
        <f t="shared" si="9"/>
        <v>6.7347737499999996</v>
      </c>
      <c r="T25" s="83">
        <f t="shared" si="10"/>
        <v>7.6747737499999999</v>
      </c>
      <c r="U25" s="83">
        <f t="shared" si="11"/>
        <v>30.699095</v>
      </c>
      <c r="V25" s="94">
        <f t="shared" si="12"/>
        <v>25.582579166666669</v>
      </c>
    </row>
    <row r="26" spans="1:22" ht="15">
      <c r="A26" s="93">
        <f t="shared" si="6"/>
        <v>24</v>
      </c>
      <c r="B26" s="83" t="s">
        <v>332</v>
      </c>
      <c r="C26" s="83" t="s">
        <v>315</v>
      </c>
      <c r="D26" s="83">
        <v>1</v>
      </c>
      <c r="E26" s="83">
        <v>1</v>
      </c>
      <c r="F26" s="91" t="s">
        <v>85</v>
      </c>
      <c r="G26" s="83" t="s">
        <v>333</v>
      </c>
      <c r="H26" s="83">
        <v>7.16</v>
      </c>
      <c r="I26" s="83">
        <v>0</v>
      </c>
      <c r="J26" s="83">
        <v>0</v>
      </c>
      <c r="K26" s="83">
        <v>3884</v>
      </c>
      <c r="L26" s="83">
        <v>0</v>
      </c>
      <c r="M26" s="83">
        <v>94</v>
      </c>
      <c r="N26" s="83">
        <v>25</v>
      </c>
      <c r="O26" s="90">
        <f>VLOOKUP(E26,'Прайс Лазер'!$I$4:$J$21,2,0)</f>
        <v>1.1499999999999999</v>
      </c>
      <c r="P26" s="83">
        <f>HLOOKUP('Оценка лазера'!$E26,'Прайс Лазер'!$C$26:$T$34,1+VLOOKUP(F26,'Прайс Лазер'!$A$26:$B$34,2,0),0)</f>
        <v>21.849999999999998</v>
      </c>
      <c r="Q26" s="83">
        <f t="shared" si="7"/>
        <v>673.04</v>
      </c>
      <c r="R26" s="83">
        <f t="shared" si="8"/>
        <v>0</v>
      </c>
      <c r="S26" s="83">
        <f t="shared" si="9"/>
        <v>93.351939999999999</v>
      </c>
      <c r="T26" s="83">
        <f t="shared" si="10"/>
        <v>766.39193999999998</v>
      </c>
      <c r="U26" s="83">
        <f t="shared" si="11"/>
        <v>766.39193999999998</v>
      </c>
      <c r="V26" s="94">
        <f t="shared" si="12"/>
        <v>638.65994999999998</v>
      </c>
    </row>
    <row r="27" spans="1:22" ht="15">
      <c r="A27" s="93">
        <f t="shared" si="6"/>
        <v>25</v>
      </c>
      <c r="B27" s="83"/>
      <c r="C27" s="83"/>
      <c r="D27" s="83"/>
      <c r="E27" s="83">
        <v>1</v>
      </c>
      <c r="F27" s="91" t="s">
        <v>85</v>
      </c>
      <c r="G27" s="83"/>
      <c r="H27" s="83">
        <v>0</v>
      </c>
      <c r="I27" s="83">
        <v>0</v>
      </c>
      <c r="J27" s="83">
        <v>0</v>
      </c>
      <c r="K27" s="83">
        <v>0</v>
      </c>
      <c r="L27" s="83">
        <v>0</v>
      </c>
      <c r="M27" s="83">
        <f>VLOOKUP(F27,'Прайс Лазер'!$L$3:$M$9,2,0)</f>
        <v>94</v>
      </c>
      <c r="N27" s="83">
        <v>25</v>
      </c>
      <c r="O27" s="90">
        <f>VLOOKUP(E27,'Прайс Лазер'!$I$4:$J$21,2,0)</f>
        <v>1.1499999999999999</v>
      </c>
      <c r="P27" s="83">
        <f>HLOOKUP('Оценка лазера'!$E27,'Прайс Лазер'!$C$26:$T$34,1+VLOOKUP(F27,'Прайс Лазер'!$A$26:$B$34,2,0),0)</f>
        <v>21.849999999999998</v>
      </c>
      <c r="Q27" s="83">
        <f t="shared" si="7"/>
        <v>0</v>
      </c>
      <c r="R27" s="83">
        <f t="shared" si="8"/>
        <v>0</v>
      </c>
      <c r="S27" s="83">
        <f t="shared" si="9"/>
        <v>0</v>
      </c>
      <c r="T27" s="83">
        <f t="shared" si="10"/>
        <v>0</v>
      </c>
      <c r="U27" s="83">
        <f t="shared" si="11"/>
        <v>0</v>
      </c>
      <c r="V27" s="94">
        <f t="shared" si="12"/>
        <v>0</v>
      </c>
    </row>
    <row r="28" spans="1:22" ht="15">
      <c r="A28" s="93">
        <f t="shared" si="6"/>
        <v>26</v>
      </c>
      <c r="B28" s="83"/>
      <c r="C28" s="83"/>
      <c r="D28" s="83"/>
      <c r="E28" s="83">
        <v>1</v>
      </c>
      <c r="F28" s="91" t="s">
        <v>85</v>
      </c>
      <c r="G28" s="83"/>
      <c r="H28" s="83">
        <v>0</v>
      </c>
      <c r="I28" s="83">
        <v>0</v>
      </c>
      <c r="J28" s="83">
        <v>0</v>
      </c>
      <c r="K28" s="83">
        <v>0</v>
      </c>
      <c r="L28" s="83">
        <v>0</v>
      </c>
      <c r="M28" s="83">
        <f>VLOOKUP(F28,'Прайс Лазер'!$L$3:$M$9,2,0)</f>
        <v>94</v>
      </c>
      <c r="N28" s="83">
        <v>25</v>
      </c>
      <c r="O28" s="90">
        <f>VLOOKUP(E28,'Прайс Лазер'!$I$4:$J$21,2,0)</f>
        <v>1.1499999999999999</v>
      </c>
      <c r="P28" s="83">
        <f>HLOOKUP('Оценка лазера'!$E28,'Прайс Лазер'!$C$26:$T$34,1+VLOOKUP(F28,'Прайс Лазер'!$A$26:$B$34,2,0),0)</f>
        <v>21.849999999999998</v>
      </c>
      <c r="Q28" s="83">
        <f t="shared" si="7"/>
        <v>0</v>
      </c>
      <c r="R28" s="83">
        <f t="shared" si="8"/>
        <v>0</v>
      </c>
      <c r="S28" s="83">
        <f t="shared" si="9"/>
        <v>0</v>
      </c>
      <c r="T28" s="83">
        <f t="shared" si="10"/>
        <v>0</v>
      </c>
      <c r="U28" s="83">
        <f t="shared" si="11"/>
        <v>0</v>
      </c>
      <c r="V28" s="94">
        <f t="shared" si="12"/>
        <v>0</v>
      </c>
    </row>
    <row r="29" spans="1:22" ht="15">
      <c r="A29" s="93">
        <f t="shared" si="6"/>
        <v>27</v>
      </c>
      <c r="B29" s="83"/>
      <c r="C29" s="83"/>
      <c r="D29" s="83"/>
      <c r="E29" s="83">
        <v>1</v>
      </c>
      <c r="F29" s="91" t="s">
        <v>85</v>
      </c>
      <c r="G29" s="83"/>
      <c r="H29" s="83">
        <v>0</v>
      </c>
      <c r="I29" s="83">
        <v>0</v>
      </c>
      <c r="J29" s="83">
        <v>0</v>
      </c>
      <c r="K29" s="83">
        <v>0</v>
      </c>
      <c r="L29" s="83">
        <v>0</v>
      </c>
      <c r="M29" s="83">
        <f>VLOOKUP(F29,'Прайс Лазер'!$L$3:$M$9,2,0)</f>
        <v>94</v>
      </c>
      <c r="N29" s="83">
        <v>25</v>
      </c>
      <c r="O29" s="90">
        <f>VLOOKUP(E29,'Прайс Лазер'!$I$4:$J$21,2,0)</f>
        <v>1.1499999999999999</v>
      </c>
      <c r="P29" s="83">
        <f>HLOOKUP('Оценка лазера'!$E29,'Прайс Лазер'!$C$26:$T$34,1+VLOOKUP(F29,'Прайс Лазер'!$A$26:$B$34,2,0),0)</f>
        <v>21.849999999999998</v>
      </c>
      <c r="Q29" s="83">
        <f t="shared" si="7"/>
        <v>0</v>
      </c>
      <c r="R29" s="83">
        <f t="shared" si="8"/>
        <v>0</v>
      </c>
      <c r="S29" s="83">
        <f t="shared" si="9"/>
        <v>0</v>
      </c>
      <c r="T29" s="83">
        <f t="shared" si="10"/>
        <v>0</v>
      </c>
      <c r="U29" s="83">
        <f t="shared" si="11"/>
        <v>0</v>
      </c>
      <c r="V29" s="94">
        <f t="shared" si="12"/>
        <v>0</v>
      </c>
    </row>
    <row r="30" spans="1:22" ht="15">
      <c r="A30" s="93">
        <f t="shared" si="6"/>
        <v>28</v>
      </c>
      <c r="B30" s="83"/>
      <c r="C30" s="83"/>
      <c r="D30" s="83"/>
      <c r="E30" s="83">
        <v>1</v>
      </c>
      <c r="F30" s="91" t="s">
        <v>85</v>
      </c>
      <c r="G30" s="83"/>
      <c r="H30" s="83">
        <v>0</v>
      </c>
      <c r="I30" s="83">
        <v>0</v>
      </c>
      <c r="J30" s="83">
        <v>0</v>
      </c>
      <c r="K30" s="83">
        <v>0</v>
      </c>
      <c r="L30" s="83">
        <v>0</v>
      </c>
      <c r="M30" s="83">
        <f>VLOOKUP(F30,'Прайс Лазер'!$L$3:$M$9,2,0)</f>
        <v>94</v>
      </c>
      <c r="N30" s="83">
        <v>25</v>
      </c>
      <c r="O30" s="90">
        <f>VLOOKUP(E30,'Прайс Лазер'!$I$4:$J$21,2,0)</f>
        <v>1.1499999999999999</v>
      </c>
      <c r="P30" s="83">
        <f>HLOOKUP('Оценка лазера'!$E30,'Прайс Лазер'!$C$26:$T$34,1+VLOOKUP(F30,'Прайс Лазер'!$A$26:$B$34,2,0),0)</f>
        <v>21.849999999999998</v>
      </c>
      <c r="Q30" s="83">
        <f t="shared" si="7"/>
        <v>0</v>
      </c>
      <c r="R30" s="83">
        <f t="shared" si="8"/>
        <v>0</v>
      </c>
      <c r="S30" s="83">
        <f t="shared" si="9"/>
        <v>0</v>
      </c>
      <c r="T30" s="83">
        <f t="shared" si="10"/>
        <v>0</v>
      </c>
      <c r="U30" s="83">
        <f t="shared" si="11"/>
        <v>0</v>
      </c>
      <c r="V30" s="94">
        <f t="shared" si="12"/>
        <v>0</v>
      </c>
    </row>
    <row r="31" spans="1:22" ht="15">
      <c r="A31" s="93">
        <f t="shared" si="6"/>
        <v>29</v>
      </c>
      <c r="B31" s="83"/>
      <c r="C31" s="83"/>
      <c r="D31" s="83"/>
      <c r="E31" s="83">
        <v>1</v>
      </c>
      <c r="F31" s="91" t="s">
        <v>85</v>
      </c>
      <c r="G31" s="83"/>
      <c r="H31" s="83">
        <v>0</v>
      </c>
      <c r="I31" s="83">
        <v>0</v>
      </c>
      <c r="J31" s="83">
        <v>0</v>
      </c>
      <c r="K31" s="83">
        <v>0</v>
      </c>
      <c r="L31" s="83">
        <v>0</v>
      </c>
      <c r="M31" s="83">
        <f>VLOOKUP(F31,'Прайс Лазер'!$L$3:$M$9,2,0)</f>
        <v>94</v>
      </c>
      <c r="N31" s="83">
        <v>25</v>
      </c>
      <c r="O31" s="90">
        <f>VLOOKUP(E31,'Прайс Лазер'!$I$4:$J$21,2,0)</f>
        <v>1.1499999999999999</v>
      </c>
      <c r="P31" s="83">
        <f>HLOOKUP('Оценка лазера'!$E31,'Прайс Лазер'!$C$26:$T$34,1+VLOOKUP(F31,'Прайс Лазер'!$A$26:$B$34,2,0),0)</f>
        <v>21.849999999999998</v>
      </c>
      <c r="Q31" s="83">
        <f t="shared" si="7"/>
        <v>0</v>
      </c>
      <c r="R31" s="83">
        <f t="shared" si="8"/>
        <v>0</v>
      </c>
      <c r="S31" s="83">
        <f t="shared" si="9"/>
        <v>0</v>
      </c>
      <c r="T31" s="83">
        <f t="shared" si="10"/>
        <v>0</v>
      </c>
      <c r="U31" s="83">
        <f t="shared" si="11"/>
        <v>0</v>
      </c>
      <c r="V31" s="94">
        <f t="shared" si="12"/>
        <v>0</v>
      </c>
    </row>
    <row r="32" spans="1:22" ht="15">
      <c r="A32" s="93">
        <f t="shared" si="6"/>
        <v>30</v>
      </c>
      <c r="B32" s="83"/>
      <c r="C32" s="83"/>
      <c r="D32" s="83"/>
      <c r="E32" s="83">
        <v>1</v>
      </c>
      <c r="F32" s="91" t="s">
        <v>85</v>
      </c>
      <c r="G32" s="83"/>
      <c r="H32" s="83">
        <v>0</v>
      </c>
      <c r="I32" s="83">
        <v>0</v>
      </c>
      <c r="J32" s="83">
        <v>0</v>
      </c>
      <c r="K32" s="83">
        <v>0</v>
      </c>
      <c r="L32" s="83">
        <v>0</v>
      </c>
      <c r="M32" s="83">
        <f>VLOOKUP(F32,'Прайс Лазер'!$L$3:$M$9,2,0)</f>
        <v>94</v>
      </c>
      <c r="N32" s="83">
        <v>25</v>
      </c>
      <c r="O32" s="90">
        <f>VLOOKUP(E32,'Прайс Лазер'!$I$4:$J$21,2,0)</f>
        <v>1.1499999999999999</v>
      </c>
      <c r="P32" s="83">
        <f>HLOOKUP('Оценка лазера'!$E32,'Прайс Лазер'!$C$26:$T$34,1+VLOOKUP(F32,'Прайс Лазер'!$A$26:$B$34,2,0),0)</f>
        <v>21.849999999999998</v>
      </c>
      <c r="Q32" s="83">
        <f t="shared" si="7"/>
        <v>0</v>
      </c>
      <c r="R32" s="83">
        <f t="shared" si="8"/>
        <v>0</v>
      </c>
      <c r="S32" s="83">
        <f t="shared" si="9"/>
        <v>0</v>
      </c>
      <c r="T32" s="83">
        <f t="shared" si="10"/>
        <v>0</v>
      </c>
      <c r="U32" s="83">
        <f t="shared" si="11"/>
        <v>0</v>
      </c>
      <c r="V32" s="94">
        <f t="shared" si="12"/>
        <v>0</v>
      </c>
    </row>
    <row r="33" spans="1:22" ht="15">
      <c r="A33" s="93">
        <f t="shared" si="6"/>
        <v>31</v>
      </c>
      <c r="B33" s="83"/>
      <c r="C33" s="83"/>
      <c r="D33" s="83"/>
      <c r="E33" s="83">
        <v>1</v>
      </c>
      <c r="F33" s="91" t="s">
        <v>85</v>
      </c>
      <c r="G33" s="83"/>
      <c r="H33" s="83">
        <v>0</v>
      </c>
      <c r="I33" s="83">
        <v>0</v>
      </c>
      <c r="J33" s="83">
        <v>0</v>
      </c>
      <c r="K33" s="83">
        <v>0</v>
      </c>
      <c r="L33" s="83">
        <v>0</v>
      </c>
      <c r="M33" s="83">
        <f>VLOOKUP(F33,'Прайс Лазер'!$L$3:$M$9,2,0)</f>
        <v>94</v>
      </c>
      <c r="N33" s="83">
        <v>25</v>
      </c>
      <c r="O33" s="90">
        <f>VLOOKUP(E33,'Прайс Лазер'!$I$4:$J$21,2,0)</f>
        <v>1.1499999999999999</v>
      </c>
      <c r="P33" s="83">
        <f>HLOOKUP('Оценка лазера'!$E33,'Прайс Лазер'!$C$26:$T$34,1+VLOOKUP(F33,'Прайс Лазер'!$A$26:$B$34,2,0),0)</f>
        <v>21.849999999999998</v>
      </c>
      <c r="Q33" s="83">
        <f t="shared" si="7"/>
        <v>0</v>
      </c>
      <c r="R33" s="83">
        <f t="shared" si="8"/>
        <v>0</v>
      </c>
      <c r="S33" s="83">
        <f t="shared" si="9"/>
        <v>0</v>
      </c>
      <c r="T33" s="83">
        <f t="shared" si="10"/>
        <v>0</v>
      </c>
      <c r="U33" s="83">
        <f t="shared" si="11"/>
        <v>0</v>
      </c>
      <c r="V33" s="94">
        <f t="shared" si="12"/>
        <v>0</v>
      </c>
    </row>
    <row r="34" spans="1:22" ht="15">
      <c r="A34" s="93">
        <f t="shared" si="6"/>
        <v>32</v>
      </c>
      <c r="B34" s="83"/>
      <c r="C34" s="83"/>
      <c r="D34" s="83"/>
      <c r="E34" s="83">
        <v>1</v>
      </c>
      <c r="F34" s="91" t="s">
        <v>85</v>
      </c>
      <c r="G34" s="83"/>
      <c r="H34" s="83">
        <v>0</v>
      </c>
      <c r="I34" s="83">
        <v>0</v>
      </c>
      <c r="J34" s="83">
        <v>0</v>
      </c>
      <c r="K34" s="83">
        <v>0</v>
      </c>
      <c r="L34" s="83">
        <v>0</v>
      </c>
      <c r="M34" s="83">
        <f>VLOOKUP(F34,'Прайс Лазер'!$L$3:$M$9,2,0)</f>
        <v>94</v>
      </c>
      <c r="N34" s="83">
        <v>25</v>
      </c>
      <c r="O34" s="90">
        <f>VLOOKUP(E34,'Прайс Лазер'!$I$4:$J$21,2,0)</f>
        <v>1.1499999999999999</v>
      </c>
      <c r="P34" s="83">
        <f>HLOOKUP('Оценка лазера'!$E34,'Прайс Лазер'!$C$26:$T$34,1+VLOOKUP(F34,'Прайс Лазер'!$A$26:$B$34,2,0),0)</f>
        <v>21.849999999999998</v>
      </c>
      <c r="Q34" s="83">
        <f t="shared" si="7"/>
        <v>0</v>
      </c>
      <c r="R34" s="83">
        <f t="shared" si="8"/>
        <v>0</v>
      </c>
      <c r="S34" s="83">
        <f t="shared" si="9"/>
        <v>0</v>
      </c>
      <c r="T34" s="83">
        <f t="shared" si="10"/>
        <v>0</v>
      </c>
      <c r="U34" s="83">
        <f t="shared" si="11"/>
        <v>0</v>
      </c>
      <c r="V34" s="94">
        <f t="shared" si="12"/>
        <v>0</v>
      </c>
    </row>
    <row r="35" spans="1:22" ht="15">
      <c r="A35" s="93">
        <f t="shared" si="6"/>
        <v>33</v>
      </c>
      <c r="B35" s="83"/>
      <c r="C35" s="83"/>
      <c r="D35" s="83"/>
      <c r="E35" s="83">
        <v>1</v>
      </c>
      <c r="F35" s="91" t="s">
        <v>85</v>
      </c>
      <c r="G35" s="83"/>
      <c r="H35" s="83">
        <v>0</v>
      </c>
      <c r="I35" s="83">
        <v>0</v>
      </c>
      <c r="J35" s="83">
        <v>0</v>
      </c>
      <c r="K35" s="83">
        <v>0</v>
      </c>
      <c r="L35" s="83">
        <v>0</v>
      </c>
      <c r="M35" s="83">
        <f>VLOOKUP(F35,'Прайс Лазер'!$L$3:$M$9,2,0)</f>
        <v>94</v>
      </c>
      <c r="N35" s="83">
        <v>25</v>
      </c>
      <c r="O35" s="90">
        <f>VLOOKUP(E35,'Прайс Лазер'!$I$4:$J$21,2,0)</f>
        <v>1.1499999999999999</v>
      </c>
      <c r="P35" s="83">
        <f>HLOOKUP('Оценка лазера'!$E35,'Прайс Лазер'!$C$26:$T$34,1+VLOOKUP(F35,'Прайс Лазер'!$A$26:$B$34,2,0),0)</f>
        <v>21.849999999999998</v>
      </c>
      <c r="Q35" s="83">
        <f t="shared" si="7"/>
        <v>0</v>
      </c>
      <c r="R35" s="83">
        <f t="shared" si="8"/>
        <v>0</v>
      </c>
      <c r="S35" s="83">
        <f t="shared" si="9"/>
        <v>0</v>
      </c>
      <c r="T35" s="83">
        <f t="shared" si="10"/>
        <v>0</v>
      </c>
      <c r="U35" s="83">
        <f t="shared" si="11"/>
        <v>0</v>
      </c>
      <c r="V35" s="94">
        <f t="shared" si="12"/>
        <v>0</v>
      </c>
    </row>
    <row r="36" spans="1:22" ht="15">
      <c r="A36" s="93">
        <f t="shared" si="6"/>
        <v>34</v>
      </c>
      <c r="B36" s="83"/>
      <c r="C36" s="83"/>
      <c r="D36" s="83"/>
      <c r="E36" s="83">
        <v>1</v>
      </c>
      <c r="F36" s="91" t="s">
        <v>85</v>
      </c>
      <c r="G36" s="83"/>
      <c r="H36" s="83">
        <v>0</v>
      </c>
      <c r="I36" s="83">
        <v>0</v>
      </c>
      <c r="J36" s="83">
        <v>0</v>
      </c>
      <c r="K36" s="83">
        <v>0</v>
      </c>
      <c r="L36" s="83">
        <v>0</v>
      </c>
      <c r="M36" s="83">
        <f>VLOOKUP(F36,'Прайс Лазер'!$L$3:$M$9,2,0)</f>
        <v>94</v>
      </c>
      <c r="N36" s="83">
        <v>25</v>
      </c>
      <c r="O36" s="90">
        <f>VLOOKUP(E36,'Прайс Лазер'!$I$4:$J$21,2,0)</f>
        <v>1.1499999999999999</v>
      </c>
      <c r="P36" s="83">
        <f>HLOOKUP('Оценка лазера'!$E36,'Прайс Лазер'!$C$26:$T$34,1+VLOOKUP(F36,'Прайс Лазер'!$A$26:$B$34,2,0),0)</f>
        <v>21.849999999999998</v>
      </c>
      <c r="Q36" s="83">
        <f t="shared" si="7"/>
        <v>0</v>
      </c>
      <c r="R36" s="83">
        <f t="shared" si="8"/>
        <v>0</v>
      </c>
      <c r="S36" s="83">
        <f t="shared" si="9"/>
        <v>0</v>
      </c>
      <c r="T36" s="83">
        <f t="shared" si="10"/>
        <v>0</v>
      </c>
      <c r="U36" s="83">
        <f t="shared" si="11"/>
        <v>0</v>
      </c>
      <c r="V36" s="94">
        <f t="shared" si="12"/>
        <v>0</v>
      </c>
    </row>
    <row r="37" spans="1:22" ht="15">
      <c r="A37" s="93">
        <f t="shared" si="6"/>
        <v>35</v>
      </c>
      <c r="B37" s="83"/>
      <c r="C37" s="83"/>
      <c r="D37" s="83"/>
      <c r="E37" s="83">
        <v>1</v>
      </c>
      <c r="F37" s="91" t="s">
        <v>85</v>
      </c>
      <c r="G37" s="83"/>
      <c r="H37" s="83">
        <v>0</v>
      </c>
      <c r="I37" s="83">
        <v>0</v>
      </c>
      <c r="J37" s="83">
        <v>0</v>
      </c>
      <c r="K37" s="83">
        <v>0</v>
      </c>
      <c r="L37" s="83">
        <v>0</v>
      </c>
      <c r="M37" s="83">
        <f>VLOOKUP(F37,'Прайс Лазер'!$L$3:$M$9,2,0)</f>
        <v>94</v>
      </c>
      <c r="N37" s="83">
        <v>25</v>
      </c>
      <c r="O37" s="90">
        <f>VLOOKUP(E37,'Прайс Лазер'!$I$4:$J$21,2,0)</f>
        <v>1.1499999999999999</v>
      </c>
      <c r="P37" s="83">
        <f>HLOOKUP('Оценка лазера'!$E37,'Прайс Лазер'!$C$26:$T$34,1+VLOOKUP(F37,'Прайс Лазер'!$A$26:$B$34,2,0),0)</f>
        <v>21.849999999999998</v>
      </c>
      <c r="Q37" s="83">
        <f t="shared" si="7"/>
        <v>0</v>
      </c>
      <c r="R37" s="83">
        <f t="shared" si="8"/>
        <v>0</v>
      </c>
      <c r="S37" s="83">
        <f t="shared" si="9"/>
        <v>0</v>
      </c>
      <c r="T37" s="83">
        <f t="shared" si="10"/>
        <v>0</v>
      </c>
      <c r="U37" s="83">
        <f t="shared" si="11"/>
        <v>0</v>
      </c>
      <c r="V37" s="94">
        <f t="shared" si="12"/>
        <v>0</v>
      </c>
    </row>
    <row r="38" spans="1:22" ht="15">
      <c r="A38" s="93">
        <f t="shared" si="6"/>
        <v>36</v>
      </c>
      <c r="B38" s="83"/>
      <c r="C38" s="83"/>
      <c r="D38" s="83"/>
      <c r="E38" s="83">
        <v>1</v>
      </c>
      <c r="F38" s="91" t="s">
        <v>85</v>
      </c>
      <c r="G38" s="83"/>
      <c r="H38" s="83">
        <v>0</v>
      </c>
      <c r="I38" s="83">
        <v>0</v>
      </c>
      <c r="J38" s="83">
        <v>0</v>
      </c>
      <c r="K38" s="83">
        <v>0</v>
      </c>
      <c r="L38" s="83">
        <v>0</v>
      </c>
      <c r="M38" s="83">
        <f>VLOOKUP(F38,'Прайс Лазер'!$L$3:$M$9,2,0)</f>
        <v>94</v>
      </c>
      <c r="N38" s="83">
        <v>25</v>
      </c>
      <c r="O38" s="90">
        <f>VLOOKUP(E38,'Прайс Лазер'!$I$4:$J$21,2,0)</f>
        <v>1.1499999999999999</v>
      </c>
      <c r="P38" s="83">
        <f>HLOOKUP('Оценка лазера'!$E38,'Прайс Лазер'!$C$26:$T$34,1+VLOOKUP(F38,'Прайс Лазер'!$A$26:$B$34,2,0),0)</f>
        <v>21.849999999999998</v>
      </c>
      <c r="Q38" s="83">
        <f t="shared" si="7"/>
        <v>0</v>
      </c>
      <c r="R38" s="83">
        <f t="shared" si="8"/>
        <v>0</v>
      </c>
      <c r="S38" s="83">
        <f t="shared" si="9"/>
        <v>0</v>
      </c>
      <c r="T38" s="83">
        <f t="shared" si="10"/>
        <v>0</v>
      </c>
      <c r="U38" s="83">
        <f t="shared" si="11"/>
        <v>0</v>
      </c>
      <c r="V38" s="94">
        <f t="shared" si="12"/>
        <v>0</v>
      </c>
    </row>
    <row r="39" spans="1:22" ht="15">
      <c r="A39" s="93">
        <f t="shared" si="6"/>
        <v>37</v>
      </c>
      <c r="B39" s="83"/>
      <c r="C39" s="83"/>
      <c r="D39" s="83"/>
      <c r="E39" s="83">
        <v>1</v>
      </c>
      <c r="F39" s="91" t="s">
        <v>85</v>
      </c>
      <c r="G39" s="83"/>
      <c r="H39" s="83">
        <v>0</v>
      </c>
      <c r="I39" s="83">
        <v>0</v>
      </c>
      <c r="J39" s="83">
        <v>0</v>
      </c>
      <c r="K39" s="83">
        <v>0</v>
      </c>
      <c r="L39" s="83">
        <v>0</v>
      </c>
      <c r="M39" s="83">
        <f>VLOOKUP(F39,'Прайс Лазер'!$L$3:$M$9,2,0)</f>
        <v>94</v>
      </c>
      <c r="N39" s="83">
        <v>25</v>
      </c>
      <c r="O39" s="90">
        <f>VLOOKUP(E39,'Прайс Лазер'!$I$4:$J$21,2,0)</f>
        <v>1.1499999999999999</v>
      </c>
      <c r="P39" s="83">
        <f>HLOOKUP('Оценка лазера'!$E39,'Прайс Лазер'!$C$26:$T$34,1+VLOOKUP(F39,'Прайс Лазер'!$A$26:$B$34,2,0),0)</f>
        <v>21.849999999999998</v>
      </c>
      <c r="Q39" s="83">
        <f t="shared" si="7"/>
        <v>0</v>
      </c>
      <c r="R39" s="83">
        <f t="shared" si="8"/>
        <v>0</v>
      </c>
      <c r="S39" s="83">
        <f t="shared" si="9"/>
        <v>0</v>
      </c>
      <c r="T39" s="83">
        <f t="shared" si="10"/>
        <v>0</v>
      </c>
      <c r="U39" s="83">
        <f t="shared" si="11"/>
        <v>0</v>
      </c>
      <c r="V39" s="94">
        <f t="shared" si="12"/>
        <v>0</v>
      </c>
    </row>
    <row r="40" spans="1:22" ht="15">
      <c r="A40" s="93">
        <f t="shared" si="6"/>
        <v>38</v>
      </c>
      <c r="B40" s="83"/>
      <c r="C40" s="83"/>
      <c r="D40" s="83"/>
      <c r="E40" s="83">
        <v>1</v>
      </c>
      <c r="F40" s="91" t="s">
        <v>85</v>
      </c>
      <c r="G40" s="83"/>
      <c r="H40" s="83">
        <v>0</v>
      </c>
      <c r="I40" s="83">
        <v>0</v>
      </c>
      <c r="J40" s="83">
        <v>0</v>
      </c>
      <c r="K40" s="83">
        <v>0</v>
      </c>
      <c r="L40" s="83">
        <v>0</v>
      </c>
      <c r="M40" s="83">
        <f>VLOOKUP(F40,'Прайс Лазер'!$L$3:$M$9,2,0)</f>
        <v>94</v>
      </c>
      <c r="N40" s="83">
        <v>25</v>
      </c>
      <c r="O40" s="90">
        <f>VLOOKUP(E40,'Прайс Лазер'!$I$4:$J$21,2,0)</f>
        <v>1.1499999999999999</v>
      </c>
      <c r="P40" s="83">
        <f>HLOOKUP('Оценка лазера'!$E40,'Прайс Лазер'!$C$26:$T$34,1+VLOOKUP(F40,'Прайс Лазер'!$A$26:$B$34,2,0),0)</f>
        <v>21.849999999999998</v>
      </c>
      <c r="Q40" s="83">
        <f t="shared" si="7"/>
        <v>0</v>
      </c>
      <c r="R40" s="83">
        <f t="shared" si="8"/>
        <v>0</v>
      </c>
      <c r="S40" s="83">
        <f t="shared" si="9"/>
        <v>0</v>
      </c>
      <c r="T40" s="83">
        <f t="shared" si="10"/>
        <v>0</v>
      </c>
      <c r="U40" s="83">
        <f t="shared" si="11"/>
        <v>0</v>
      </c>
      <c r="V40" s="94">
        <f t="shared" si="12"/>
        <v>0</v>
      </c>
    </row>
    <row r="41" spans="1:22" ht="15">
      <c r="A41" s="93">
        <f t="shared" si="6"/>
        <v>39</v>
      </c>
      <c r="B41" s="83"/>
      <c r="C41" s="83"/>
      <c r="D41" s="83"/>
      <c r="E41" s="83">
        <v>1</v>
      </c>
      <c r="F41" s="91" t="s">
        <v>85</v>
      </c>
      <c r="G41" s="83"/>
      <c r="H41" s="83">
        <v>0</v>
      </c>
      <c r="I41" s="83">
        <v>0</v>
      </c>
      <c r="J41" s="83">
        <v>0</v>
      </c>
      <c r="K41" s="83">
        <v>0</v>
      </c>
      <c r="L41" s="83">
        <v>0</v>
      </c>
      <c r="M41" s="83">
        <f>VLOOKUP(F41,'Прайс Лазер'!$L$3:$M$9,2,0)</f>
        <v>94</v>
      </c>
      <c r="N41" s="83">
        <v>25</v>
      </c>
      <c r="O41" s="90">
        <f>VLOOKUP(E41,'Прайс Лазер'!$I$4:$J$21,2,0)</f>
        <v>1.1499999999999999</v>
      </c>
      <c r="P41" s="83">
        <f>HLOOKUP('Оценка лазера'!$E41,'Прайс Лазер'!$C$26:$T$34,1+VLOOKUP(F41,'Прайс Лазер'!$A$26:$B$34,2,0),0)</f>
        <v>21.849999999999998</v>
      </c>
      <c r="Q41" s="83">
        <f t="shared" si="7"/>
        <v>0</v>
      </c>
      <c r="R41" s="83">
        <f t="shared" si="8"/>
        <v>0</v>
      </c>
      <c r="S41" s="83">
        <f t="shared" si="9"/>
        <v>0</v>
      </c>
      <c r="T41" s="83">
        <f t="shared" si="10"/>
        <v>0</v>
      </c>
      <c r="U41" s="83">
        <f t="shared" si="11"/>
        <v>0</v>
      </c>
      <c r="V41" s="94">
        <f t="shared" si="12"/>
        <v>0</v>
      </c>
    </row>
    <row r="42" spans="1:22" ht="15">
      <c r="A42" s="93">
        <f t="shared" si="6"/>
        <v>40</v>
      </c>
      <c r="B42" s="83"/>
      <c r="C42" s="83"/>
      <c r="D42" s="83"/>
      <c r="E42" s="83">
        <v>1</v>
      </c>
      <c r="F42" s="91" t="s">
        <v>85</v>
      </c>
      <c r="G42" s="83"/>
      <c r="H42" s="83">
        <v>0</v>
      </c>
      <c r="I42" s="83">
        <v>0</v>
      </c>
      <c r="J42" s="83">
        <v>0</v>
      </c>
      <c r="K42" s="83">
        <v>0</v>
      </c>
      <c r="L42" s="83">
        <v>0</v>
      </c>
      <c r="M42" s="83">
        <f>VLOOKUP(F42,'Прайс Лазер'!$L$3:$M$9,2,0)</f>
        <v>94</v>
      </c>
      <c r="N42" s="83">
        <v>25</v>
      </c>
      <c r="O42" s="90">
        <f>VLOOKUP(E42,'Прайс Лазер'!$I$4:$J$21,2,0)</f>
        <v>1.1499999999999999</v>
      </c>
      <c r="P42" s="83">
        <f>HLOOKUP('Оценка лазера'!$E42,'Прайс Лазер'!$C$26:$T$34,1+VLOOKUP(F42,'Прайс Лазер'!$A$26:$B$34,2,0),0)</f>
        <v>21.849999999999998</v>
      </c>
      <c r="Q42" s="83">
        <f t="shared" si="7"/>
        <v>0</v>
      </c>
      <c r="R42" s="83">
        <f t="shared" si="8"/>
        <v>0</v>
      </c>
      <c r="S42" s="83">
        <f t="shared" si="9"/>
        <v>0</v>
      </c>
      <c r="T42" s="83">
        <f t="shared" si="10"/>
        <v>0</v>
      </c>
      <c r="U42" s="83">
        <f t="shared" si="11"/>
        <v>0</v>
      </c>
      <c r="V42" s="94">
        <f t="shared" si="12"/>
        <v>0</v>
      </c>
    </row>
    <row r="43" spans="1:22" ht="15">
      <c r="A43" s="93">
        <f t="shared" si="6"/>
        <v>41</v>
      </c>
      <c r="B43" s="83"/>
      <c r="C43" s="83"/>
      <c r="D43" s="83"/>
      <c r="E43" s="83">
        <v>1</v>
      </c>
      <c r="F43" s="91" t="s">
        <v>85</v>
      </c>
      <c r="G43" s="83"/>
      <c r="H43" s="83">
        <v>0</v>
      </c>
      <c r="I43" s="83">
        <v>0</v>
      </c>
      <c r="J43" s="83">
        <v>0</v>
      </c>
      <c r="K43" s="83">
        <v>0</v>
      </c>
      <c r="L43" s="83">
        <v>0</v>
      </c>
      <c r="M43" s="83">
        <f>VLOOKUP(F43,'Прайс Лазер'!$L$3:$M$9,2,0)</f>
        <v>94</v>
      </c>
      <c r="N43" s="83">
        <v>25</v>
      </c>
      <c r="O43" s="90">
        <f>VLOOKUP(E43,'Прайс Лазер'!$I$4:$J$21,2,0)</f>
        <v>1.1499999999999999</v>
      </c>
      <c r="P43" s="83">
        <f>HLOOKUP('Оценка лазера'!$E43,'Прайс Лазер'!$C$26:$T$34,1+VLOOKUP(F43,'Прайс Лазер'!$A$26:$B$34,2,0),0)</f>
        <v>21.849999999999998</v>
      </c>
      <c r="Q43" s="83">
        <f t="shared" si="7"/>
        <v>0</v>
      </c>
      <c r="R43" s="83">
        <f t="shared" si="8"/>
        <v>0</v>
      </c>
      <c r="S43" s="83">
        <f t="shared" si="9"/>
        <v>0</v>
      </c>
      <c r="T43" s="83">
        <f t="shared" si="10"/>
        <v>0</v>
      </c>
      <c r="U43" s="83">
        <f t="shared" si="11"/>
        <v>0</v>
      </c>
      <c r="V43" s="94">
        <f t="shared" si="12"/>
        <v>0</v>
      </c>
    </row>
    <row r="44" spans="1:22" ht="15">
      <c r="A44" s="93">
        <f t="shared" si="6"/>
        <v>42</v>
      </c>
      <c r="B44" s="83"/>
      <c r="C44" s="83"/>
      <c r="D44" s="83"/>
      <c r="E44" s="83">
        <v>1</v>
      </c>
      <c r="F44" s="91" t="s">
        <v>85</v>
      </c>
      <c r="G44" s="83"/>
      <c r="H44" s="83">
        <v>0</v>
      </c>
      <c r="I44" s="83">
        <v>0</v>
      </c>
      <c r="J44" s="83">
        <v>0</v>
      </c>
      <c r="K44" s="83">
        <v>0</v>
      </c>
      <c r="L44" s="83">
        <v>0</v>
      </c>
      <c r="M44" s="83">
        <f>VLOOKUP(F44,'Прайс Лазер'!$L$3:$M$9,2,0)</f>
        <v>94</v>
      </c>
      <c r="N44" s="83">
        <v>25</v>
      </c>
      <c r="O44" s="90">
        <f>VLOOKUP(E44,'Прайс Лазер'!$I$4:$J$21,2,0)</f>
        <v>1.1499999999999999</v>
      </c>
      <c r="P44" s="83">
        <f>HLOOKUP('Оценка лазера'!$E44,'Прайс Лазер'!$C$26:$T$34,1+VLOOKUP(F44,'Прайс Лазер'!$A$26:$B$34,2,0),0)</f>
        <v>21.849999999999998</v>
      </c>
      <c r="Q44" s="83">
        <f t="shared" si="7"/>
        <v>0</v>
      </c>
      <c r="R44" s="83">
        <f t="shared" si="8"/>
        <v>0</v>
      </c>
      <c r="S44" s="83">
        <f t="shared" si="9"/>
        <v>0</v>
      </c>
      <c r="T44" s="83">
        <f t="shared" si="10"/>
        <v>0</v>
      </c>
      <c r="U44" s="83">
        <f t="shared" si="11"/>
        <v>0</v>
      </c>
      <c r="V44" s="94">
        <f t="shared" si="12"/>
        <v>0</v>
      </c>
    </row>
    <row r="45" spans="1:22" ht="15">
      <c r="A45" s="93">
        <f t="shared" si="6"/>
        <v>43</v>
      </c>
      <c r="B45" s="83"/>
      <c r="C45" s="83"/>
      <c r="D45" s="83"/>
      <c r="E45" s="83">
        <v>1</v>
      </c>
      <c r="F45" s="91" t="s">
        <v>85</v>
      </c>
      <c r="G45" s="83"/>
      <c r="H45" s="83">
        <v>0</v>
      </c>
      <c r="I45" s="83">
        <v>0</v>
      </c>
      <c r="J45" s="83">
        <v>0</v>
      </c>
      <c r="K45" s="83">
        <v>0</v>
      </c>
      <c r="L45" s="83">
        <v>0</v>
      </c>
      <c r="M45" s="83">
        <f>VLOOKUP(F45,'Прайс Лазер'!$L$3:$M$9,2,0)</f>
        <v>94</v>
      </c>
      <c r="N45" s="83">
        <v>25</v>
      </c>
      <c r="O45" s="90">
        <f>VLOOKUP(E45,'Прайс Лазер'!$I$4:$J$21,2,0)</f>
        <v>1.1499999999999999</v>
      </c>
      <c r="P45" s="83">
        <f>HLOOKUP('Оценка лазера'!$E45,'Прайс Лазер'!$C$26:$T$34,1+VLOOKUP(F45,'Прайс Лазер'!$A$26:$B$34,2,0),0)</f>
        <v>21.849999999999998</v>
      </c>
      <c r="Q45" s="83">
        <f t="shared" si="7"/>
        <v>0</v>
      </c>
      <c r="R45" s="83">
        <f t="shared" si="8"/>
        <v>0</v>
      </c>
      <c r="S45" s="83">
        <f t="shared" si="9"/>
        <v>0</v>
      </c>
      <c r="T45" s="83">
        <f t="shared" si="10"/>
        <v>0</v>
      </c>
      <c r="U45" s="83">
        <f t="shared" si="11"/>
        <v>0</v>
      </c>
      <c r="V45" s="94">
        <f t="shared" si="12"/>
        <v>0</v>
      </c>
    </row>
    <row r="46" spans="1:22" ht="15">
      <c r="A46" s="93">
        <f t="shared" si="6"/>
        <v>44</v>
      </c>
      <c r="B46" s="83"/>
      <c r="C46" s="83"/>
      <c r="D46" s="83"/>
      <c r="E46" s="83">
        <v>1</v>
      </c>
      <c r="F46" s="91" t="s">
        <v>85</v>
      </c>
      <c r="G46" s="83"/>
      <c r="H46" s="83">
        <v>0</v>
      </c>
      <c r="I46" s="83">
        <v>0</v>
      </c>
      <c r="J46" s="83">
        <v>0</v>
      </c>
      <c r="K46" s="83">
        <v>0</v>
      </c>
      <c r="L46" s="83">
        <v>0</v>
      </c>
      <c r="M46" s="83">
        <f>VLOOKUP(F46,'Прайс Лазер'!$L$3:$M$9,2,0)</f>
        <v>94</v>
      </c>
      <c r="N46" s="83">
        <v>25</v>
      </c>
      <c r="O46" s="90">
        <f>VLOOKUP(E46,'Прайс Лазер'!$I$4:$J$21,2,0)</f>
        <v>1.1499999999999999</v>
      </c>
      <c r="P46" s="83">
        <f>HLOOKUP('Оценка лазера'!$E46,'Прайс Лазер'!$C$26:$T$34,1+VLOOKUP(F46,'Прайс Лазер'!$A$26:$B$34,2,0),0)</f>
        <v>21.849999999999998</v>
      </c>
      <c r="Q46" s="83">
        <f t="shared" si="7"/>
        <v>0</v>
      </c>
      <c r="R46" s="83">
        <f t="shared" si="8"/>
        <v>0</v>
      </c>
      <c r="S46" s="83">
        <f t="shared" si="9"/>
        <v>0</v>
      </c>
      <c r="T46" s="83">
        <f t="shared" si="10"/>
        <v>0</v>
      </c>
      <c r="U46" s="83">
        <f t="shared" si="11"/>
        <v>0</v>
      </c>
      <c r="V46" s="94">
        <f t="shared" si="12"/>
        <v>0</v>
      </c>
    </row>
    <row r="47" spans="1:22" ht="15">
      <c r="A47" s="93">
        <f t="shared" si="6"/>
        <v>45</v>
      </c>
      <c r="B47" s="83"/>
      <c r="C47" s="83"/>
      <c r="D47" s="83"/>
      <c r="E47" s="83">
        <v>1</v>
      </c>
      <c r="F47" s="91" t="s">
        <v>85</v>
      </c>
      <c r="G47" s="83"/>
      <c r="H47" s="83">
        <v>0</v>
      </c>
      <c r="I47" s="83">
        <v>0</v>
      </c>
      <c r="J47" s="83">
        <v>0</v>
      </c>
      <c r="K47" s="83">
        <v>0</v>
      </c>
      <c r="L47" s="83">
        <v>0</v>
      </c>
      <c r="M47" s="83">
        <f>VLOOKUP(F47,'Прайс Лазер'!$L$3:$M$9,2,0)</f>
        <v>94</v>
      </c>
      <c r="N47" s="83">
        <v>25</v>
      </c>
      <c r="O47" s="90">
        <f>VLOOKUP(E47,'Прайс Лазер'!$I$4:$J$21,2,0)</f>
        <v>1.1499999999999999</v>
      </c>
      <c r="P47" s="83">
        <f>HLOOKUP('Оценка лазера'!$E47,'Прайс Лазер'!$C$26:$T$34,1+VLOOKUP(F47,'Прайс Лазер'!$A$26:$B$34,2,0),0)</f>
        <v>21.849999999999998</v>
      </c>
      <c r="Q47" s="83">
        <f t="shared" si="7"/>
        <v>0</v>
      </c>
      <c r="R47" s="83">
        <f t="shared" si="8"/>
        <v>0</v>
      </c>
      <c r="S47" s="83">
        <f t="shared" si="9"/>
        <v>0</v>
      </c>
      <c r="T47" s="83">
        <f t="shared" si="10"/>
        <v>0</v>
      </c>
      <c r="U47" s="83">
        <f t="shared" si="11"/>
        <v>0</v>
      </c>
      <c r="V47" s="94">
        <f t="shared" si="12"/>
        <v>0</v>
      </c>
    </row>
    <row r="48" spans="1:22" ht="15">
      <c r="A48" s="93">
        <f t="shared" si="6"/>
        <v>46</v>
      </c>
      <c r="B48" s="83"/>
      <c r="C48" s="83"/>
      <c r="D48" s="83"/>
      <c r="E48" s="83">
        <v>1</v>
      </c>
      <c r="F48" s="91" t="s">
        <v>85</v>
      </c>
      <c r="G48" s="83"/>
      <c r="H48" s="83">
        <v>0</v>
      </c>
      <c r="I48" s="83">
        <v>0</v>
      </c>
      <c r="J48" s="83">
        <v>0</v>
      </c>
      <c r="K48" s="83">
        <v>0</v>
      </c>
      <c r="L48" s="83">
        <v>0</v>
      </c>
      <c r="M48" s="83">
        <f>VLOOKUP(F48,'Прайс Лазер'!$L$3:$M$9,2,0)</f>
        <v>94</v>
      </c>
      <c r="N48" s="83">
        <v>25</v>
      </c>
      <c r="O48" s="90">
        <f>VLOOKUP(E48,'Прайс Лазер'!$I$4:$J$21,2,0)</f>
        <v>1.1499999999999999</v>
      </c>
      <c r="P48" s="83">
        <f>HLOOKUP('Оценка лазера'!$E48,'Прайс Лазер'!$C$26:$T$34,1+VLOOKUP(F48,'Прайс Лазер'!$A$26:$B$34,2,0),0)</f>
        <v>21.849999999999998</v>
      </c>
      <c r="Q48" s="83">
        <f t="shared" si="7"/>
        <v>0</v>
      </c>
      <c r="R48" s="83">
        <f t="shared" si="8"/>
        <v>0</v>
      </c>
      <c r="S48" s="83">
        <f t="shared" si="9"/>
        <v>0</v>
      </c>
      <c r="T48" s="83">
        <f t="shared" si="10"/>
        <v>0</v>
      </c>
      <c r="U48" s="83">
        <f t="shared" si="11"/>
        <v>0</v>
      </c>
      <c r="V48" s="94">
        <f t="shared" si="12"/>
        <v>0</v>
      </c>
    </row>
    <row r="49" spans="1:22" ht="15">
      <c r="A49" s="93">
        <f t="shared" si="6"/>
        <v>47</v>
      </c>
      <c r="B49" s="83"/>
      <c r="C49" s="83"/>
      <c r="D49" s="83"/>
      <c r="E49" s="83">
        <v>1</v>
      </c>
      <c r="F49" s="91" t="s">
        <v>85</v>
      </c>
      <c r="G49" s="83"/>
      <c r="H49" s="83">
        <v>0</v>
      </c>
      <c r="I49" s="83">
        <v>0</v>
      </c>
      <c r="J49" s="83">
        <v>0</v>
      </c>
      <c r="K49" s="83">
        <v>0</v>
      </c>
      <c r="L49" s="83">
        <v>0</v>
      </c>
      <c r="M49" s="83">
        <f>VLOOKUP(F49,'Прайс Лазер'!$L$3:$M$9,2,0)</f>
        <v>94</v>
      </c>
      <c r="N49" s="83">
        <v>25</v>
      </c>
      <c r="O49" s="90">
        <f>VLOOKUP(E49,'Прайс Лазер'!$I$4:$J$21,2,0)</f>
        <v>1.1499999999999999</v>
      </c>
      <c r="P49" s="83">
        <f>HLOOKUP('Оценка лазера'!$E49,'Прайс Лазер'!$C$26:$T$34,1+VLOOKUP(F49,'Прайс Лазер'!$A$26:$B$34,2,0),0)</f>
        <v>21.849999999999998</v>
      </c>
      <c r="Q49" s="83">
        <f t="shared" si="7"/>
        <v>0</v>
      </c>
      <c r="R49" s="83">
        <f t="shared" si="8"/>
        <v>0</v>
      </c>
      <c r="S49" s="83">
        <f t="shared" si="9"/>
        <v>0</v>
      </c>
      <c r="T49" s="83">
        <f t="shared" si="10"/>
        <v>0</v>
      </c>
      <c r="U49" s="83">
        <f t="shared" si="11"/>
        <v>0</v>
      </c>
      <c r="V49" s="94">
        <f t="shared" si="12"/>
        <v>0</v>
      </c>
    </row>
    <row r="50" spans="1:22" ht="15">
      <c r="A50" s="93">
        <f t="shared" si="6"/>
        <v>48</v>
      </c>
      <c r="B50" s="83"/>
      <c r="C50" s="83"/>
      <c r="D50" s="83"/>
      <c r="E50" s="83">
        <v>1</v>
      </c>
      <c r="F50" s="91" t="s">
        <v>85</v>
      </c>
      <c r="G50" s="83"/>
      <c r="H50" s="83">
        <v>0</v>
      </c>
      <c r="I50" s="83">
        <v>0</v>
      </c>
      <c r="J50" s="83">
        <v>0</v>
      </c>
      <c r="K50" s="83">
        <v>0</v>
      </c>
      <c r="L50" s="83">
        <v>0</v>
      </c>
      <c r="M50" s="83">
        <f>VLOOKUP(F50,'Прайс Лазер'!$L$3:$M$9,2,0)</f>
        <v>94</v>
      </c>
      <c r="N50" s="83">
        <v>25</v>
      </c>
      <c r="O50" s="90">
        <f>VLOOKUP(E50,'Прайс Лазер'!$I$4:$J$21,2,0)</f>
        <v>1.1499999999999999</v>
      </c>
      <c r="P50" s="83">
        <f>HLOOKUP('Оценка лазера'!$E50,'Прайс Лазер'!$C$26:$T$34,1+VLOOKUP(F50,'Прайс Лазер'!$A$26:$B$34,2,0),0)</f>
        <v>21.849999999999998</v>
      </c>
      <c r="Q50" s="83">
        <f t="shared" si="7"/>
        <v>0</v>
      </c>
      <c r="R50" s="83">
        <f t="shared" si="8"/>
        <v>0</v>
      </c>
      <c r="S50" s="83">
        <f t="shared" si="9"/>
        <v>0</v>
      </c>
      <c r="T50" s="83">
        <f t="shared" si="10"/>
        <v>0</v>
      </c>
      <c r="U50" s="83">
        <f t="shared" si="11"/>
        <v>0</v>
      </c>
      <c r="V50" s="94">
        <f t="shared" si="12"/>
        <v>0</v>
      </c>
    </row>
    <row r="51" spans="1:22" ht="15">
      <c r="A51" s="93">
        <f t="shared" si="6"/>
        <v>49</v>
      </c>
      <c r="B51" s="83"/>
      <c r="C51" s="83"/>
      <c r="D51" s="83"/>
      <c r="E51" s="83">
        <v>1</v>
      </c>
      <c r="F51" s="91" t="s">
        <v>85</v>
      </c>
      <c r="G51" s="83"/>
      <c r="H51" s="83">
        <v>0</v>
      </c>
      <c r="I51" s="83">
        <v>0</v>
      </c>
      <c r="J51" s="83">
        <v>0</v>
      </c>
      <c r="K51" s="83">
        <v>0</v>
      </c>
      <c r="L51" s="83">
        <v>0</v>
      </c>
      <c r="M51" s="83">
        <f>VLOOKUP(F51,'Прайс Лазер'!$L$3:$M$9,2,0)</f>
        <v>94</v>
      </c>
      <c r="N51" s="83">
        <v>25</v>
      </c>
      <c r="O51" s="90">
        <f>VLOOKUP(E51,'Прайс Лазер'!$I$4:$J$21,2,0)</f>
        <v>1.1499999999999999</v>
      </c>
      <c r="P51" s="83">
        <f>HLOOKUP('Оценка лазера'!$E51,'Прайс Лазер'!$C$26:$T$34,1+VLOOKUP(F51,'Прайс Лазер'!$A$26:$B$34,2,0),0)</f>
        <v>21.849999999999998</v>
      </c>
      <c r="Q51" s="83">
        <f t="shared" si="7"/>
        <v>0</v>
      </c>
      <c r="R51" s="83">
        <f t="shared" si="8"/>
        <v>0</v>
      </c>
      <c r="S51" s="83">
        <f t="shared" si="9"/>
        <v>0</v>
      </c>
      <c r="T51" s="83">
        <f t="shared" si="10"/>
        <v>0</v>
      </c>
      <c r="U51" s="83">
        <f t="shared" si="11"/>
        <v>0</v>
      </c>
      <c r="V51" s="94">
        <f t="shared" si="12"/>
        <v>0</v>
      </c>
    </row>
    <row r="52" spans="1:22" ht="15">
      <c r="A52" s="93">
        <f t="shared" si="6"/>
        <v>50</v>
      </c>
      <c r="B52" s="83"/>
      <c r="C52" s="83"/>
      <c r="D52" s="83"/>
      <c r="E52" s="83">
        <v>1</v>
      </c>
      <c r="F52" s="91" t="s">
        <v>85</v>
      </c>
      <c r="G52" s="83"/>
      <c r="H52" s="83">
        <v>0</v>
      </c>
      <c r="I52" s="83">
        <v>0</v>
      </c>
      <c r="J52" s="83">
        <v>0</v>
      </c>
      <c r="K52" s="83">
        <v>0</v>
      </c>
      <c r="L52" s="83">
        <v>0</v>
      </c>
      <c r="M52" s="83">
        <f>VLOOKUP(F52,'Прайс Лазер'!$L$3:$M$9,2,0)</f>
        <v>94</v>
      </c>
      <c r="N52" s="83">
        <v>25</v>
      </c>
      <c r="O52" s="90">
        <f>VLOOKUP(E52,'Прайс Лазер'!$I$4:$J$21,2,0)</f>
        <v>1.1499999999999999</v>
      </c>
      <c r="P52" s="83">
        <f>HLOOKUP('Оценка лазера'!$E52,'Прайс Лазер'!$C$26:$T$34,1+VLOOKUP(F52,'Прайс Лазер'!$A$26:$B$34,2,0),0)</f>
        <v>21.849999999999998</v>
      </c>
      <c r="Q52" s="83">
        <f t="shared" si="7"/>
        <v>0</v>
      </c>
      <c r="R52" s="83">
        <f t="shared" si="8"/>
        <v>0</v>
      </c>
      <c r="S52" s="83">
        <f t="shared" si="9"/>
        <v>0</v>
      </c>
      <c r="T52" s="83">
        <f t="shared" si="10"/>
        <v>0</v>
      </c>
      <c r="U52" s="83">
        <f t="shared" si="11"/>
        <v>0</v>
      </c>
      <c r="V52" s="94">
        <f t="shared" si="12"/>
        <v>0</v>
      </c>
    </row>
    <row r="53" spans="1:22" ht="15">
      <c r="A53" s="93">
        <f t="shared" si="6"/>
        <v>51</v>
      </c>
      <c r="B53" s="83"/>
      <c r="C53" s="83"/>
      <c r="D53" s="83"/>
      <c r="E53" s="83">
        <v>1</v>
      </c>
      <c r="F53" s="91" t="s">
        <v>85</v>
      </c>
      <c r="G53" s="83"/>
      <c r="H53" s="83">
        <v>0</v>
      </c>
      <c r="I53" s="83">
        <v>0</v>
      </c>
      <c r="J53" s="83">
        <v>0</v>
      </c>
      <c r="K53" s="83">
        <v>0</v>
      </c>
      <c r="L53" s="83">
        <v>0</v>
      </c>
      <c r="M53" s="83">
        <f>VLOOKUP(F53,'Прайс Лазер'!$L$3:$M$9,2,0)</f>
        <v>94</v>
      </c>
      <c r="N53" s="83">
        <v>25</v>
      </c>
      <c r="O53" s="90">
        <f>VLOOKUP(E53,'Прайс Лазер'!$I$4:$J$21,2,0)</f>
        <v>1.1499999999999999</v>
      </c>
      <c r="P53" s="83">
        <f>HLOOKUP('Оценка лазера'!$E53,'Прайс Лазер'!$C$26:$T$34,1+VLOOKUP(F53,'Прайс Лазер'!$A$26:$B$34,2,0),0)</f>
        <v>21.849999999999998</v>
      </c>
      <c r="Q53" s="83">
        <f t="shared" si="7"/>
        <v>0</v>
      </c>
      <c r="R53" s="83">
        <f t="shared" si="8"/>
        <v>0</v>
      </c>
      <c r="S53" s="83">
        <f t="shared" si="9"/>
        <v>0</v>
      </c>
      <c r="T53" s="83">
        <f t="shared" si="10"/>
        <v>0</v>
      </c>
      <c r="U53" s="83">
        <f t="shared" si="11"/>
        <v>0</v>
      </c>
      <c r="V53" s="94">
        <f t="shared" si="12"/>
        <v>0</v>
      </c>
    </row>
    <row r="54" spans="1:22" ht="15">
      <c r="A54" s="93">
        <f t="shared" si="6"/>
        <v>52</v>
      </c>
      <c r="B54" s="83"/>
      <c r="C54" s="83"/>
      <c r="D54" s="83"/>
      <c r="E54" s="83">
        <v>1</v>
      </c>
      <c r="F54" s="91" t="s">
        <v>85</v>
      </c>
      <c r="G54" s="83"/>
      <c r="H54" s="83">
        <v>0</v>
      </c>
      <c r="I54" s="83">
        <v>0</v>
      </c>
      <c r="J54" s="83">
        <v>0</v>
      </c>
      <c r="K54" s="83">
        <v>0</v>
      </c>
      <c r="L54" s="83">
        <v>0</v>
      </c>
      <c r="M54" s="83">
        <f>VLOOKUP(F54,'Прайс Лазер'!$L$3:$M$9,2,0)</f>
        <v>94</v>
      </c>
      <c r="N54" s="83">
        <v>25</v>
      </c>
      <c r="O54" s="90">
        <f>VLOOKUP(E54,'Прайс Лазер'!$I$4:$J$21,2,0)</f>
        <v>1.1499999999999999</v>
      </c>
      <c r="P54" s="83">
        <f>HLOOKUP('Оценка лазера'!$E54,'Прайс Лазер'!$C$26:$T$34,1+VLOOKUP(F54,'Прайс Лазер'!$A$26:$B$34,2,0),0)</f>
        <v>21.849999999999998</v>
      </c>
      <c r="Q54" s="83">
        <f t="shared" si="7"/>
        <v>0</v>
      </c>
      <c r="R54" s="83">
        <f t="shared" si="8"/>
        <v>0</v>
      </c>
      <c r="S54" s="83">
        <f t="shared" si="9"/>
        <v>0</v>
      </c>
      <c r="T54" s="83">
        <f t="shared" si="10"/>
        <v>0</v>
      </c>
      <c r="U54" s="83">
        <f t="shared" si="11"/>
        <v>0</v>
      </c>
      <c r="V54" s="94">
        <f t="shared" si="12"/>
        <v>0</v>
      </c>
    </row>
    <row r="55" spans="1:22" ht="15">
      <c r="A55" s="93">
        <f t="shared" si="6"/>
        <v>53</v>
      </c>
      <c r="B55" s="83"/>
      <c r="C55" s="83"/>
      <c r="D55" s="83"/>
      <c r="E55" s="83">
        <v>1</v>
      </c>
      <c r="F55" s="91" t="s">
        <v>85</v>
      </c>
      <c r="G55" s="83"/>
      <c r="H55" s="83">
        <v>0</v>
      </c>
      <c r="I55" s="83">
        <v>0</v>
      </c>
      <c r="J55" s="83">
        <v>0</v>
      </c>
      <c r="K55" s="83">
        <v>0</v>
      </c>
      <c r="L55" s="83">
        <v>0</v>
      </c>
      <c r="M55" s="83">
        <f>VLOOKUP(F55,'Прайс Лазер'!$L$3:$M$9,2,0)</f>
        <v>94</v>
      </c>
      <c r="N55" s="83">
        <v>25</v>
      </c>
      <c r="O55" s="90">
        <f>VLOOKUP(E55,'Прайс Лазер'!$I$4:$J$21,2,0)</f>
        <v>1.1499999999999999</v>
      </c>
      <c r="P55" s="83">
        <f>HLOOKUP('Оценка лазера'!$E55,'Прайс Лазер'!$C$26:$T$34,1+VLOOKUP(F55,'Прайс Лазер'!$A$26:$B$34,2,0),0)</f>
        <v>21.849999999999998</v>
      </c>
      <c r="Q55" s="83">
        <f t="shared" si="7"/>
        <v>0</v>
      </c>
      <c r="R55" s="83">
        <f t="shared" si="8"/>
        <v>0</v>
      </c>
      <c r="S55" s="83">
        <f t="shared" si="9"/>
        <v>0</v>
      </c>
      <c r="T55" s="83">
        <f t="shared" si="10"/>
        <v>0</v>
      </c>
      <c r="U55" s="83">
        <f t="shared" si="11"/>
        <v>0</v>
      </c>
      <c r="V55" s="94">
        <f t="shared" si="12"/>
        <v>0</v>
      </c>
    </row>
    <row r="56" spans="1:22" ht="15">
      <c r="A56" s="93">
        <f t="shared" si="6"/>
        <v>54</v>
      </c>
      <c r="B56" s="83"/>
      <c r="C56" s="83"/>
      <c r="D56" s="83"/>
      <c r="E56" s="83">
        <v>1</v>
      </c>
      <c r="F56" s="91" t="s">
        <v>85</v>
      </c>
      <c r="G56" s="83"/>
      <c r="H56" s="83">
        <v>0</v>
      </c>
      <c r="I56" s="83">
        <v>0</v>
      </c>
      <c r="J56" s="83">
        <v>0</v>
      </c>
      <c r="K56" s="83">
        <v>0</v>
      </c>
      <c r="L56" s="83">
        <v>0</v>
      </c>
      <c r="M56" s="83">
        <f>VLOOKUP(F56,'Прайс Лазер'!$L$3:$M$9,2,0)</f>
        <v>94</v>
      </c>
      <c r="N56" s="83">
        <v>25</v>
      </c>
      <c r="O56" s="90">
        <f>VLOOKUP(E56,'Прайс Лазер'!$I$4:$J$21,2,0)</f>
        <v>1.1499999999999999</v>
      </c>
      <c r="P56" s="83">
        <f>HLOOKUP('Оценка лазера'!$E56,'Прайс Лазер'!$C$26:$T$34,1+VLOOKUP(F56,'Прайс Лазер'!$A$26:$B$34,2,0),0)</f>
        <v>21.849999999999998</v>
      </c>
      <c r="Q56" s="83">
        <f t="shared" si="7"/>
        <v>0</v>
      </c>
      <c r="R56" s="83">
        <f t="shared" si="8"/>
        <v>0</v>
      </c>
      <c r="S56" s="83">
        <f t="shared" si="9"/>
        <v>0</v>
      </c>
      <c r="T56" s="83">
        <f t="shared" si="10"/>
        <v>0</v>
      </c>
      <c r="U56" s="83">
        <f t="shared" si="11"/>
        <v>0</v>
      </c>
      <c r="V56" s="94">
        <f t="shared" si="12"/>
        <v>0</v>
      </c>
    </row>
    <row r="57" spans="1:22" ht="15">
      <c r="A57" s="93">
        <f t="shared" si="6"/>
        <v>55</v>
      </c>
      <c r="B57" s="83"/>
      <c r="C57" s="83"/>
      <c r="D57" s="83"/>
      <c r="E57" s="83">
        <v>1</v>
      </c>
      <c r="F57" s="91" t="s">
        <v>85</v>
      </c>
      <c r="G57" s="83"/>
      <c r="H57" s="83">
        <v>0</v>
      </c>
      <c r="I57" s="83">
        <v>0</v>
      </c>
      <c r="J57" s="83">
        <v>0</v>
      </c>
      <c r="K57" s="83">
        <v>0</v>
      </c>
      <c r="L57" s="83">
        <v>0</v>
      </c>
      <c r="M57" s="83">
        <f>VLOOKUP(F57,'Прайс Лазер'!$L$3:$M$9,2,0)</f>
        <v>94</v>
      </c>
      <c r="N57" s="83">
        <v>25</v>
      </c>
      <c r="O57" s="90">
        <f>VLOOKUP(E57,'Прайс Лазер'!$I$4:$J$21,2,0)</f>
        <v>1.1499999999999999</v>
      </c>
      <c r="P57" s="83">
        <f>HLOOKUP('Оценка лазера'!$E57,'Прайс Лазер'!$C$26:$T$34,1+VLOOKUP(F57,'Прайс Лазер'!$A$26:$B$34,2,0),0)</f>
        <v>21.849999999999998</v>
      </c>
      <c r="Q57" s="83">
        <f t="shared" si="7"/>
        <v>0</v>
      </c>
      <c r="R57" s="83">
        <f t="shared" si="8"/>
        <v>0</v>
      </c>
      <c r="S57" s="83">
        <f t="shared" si="9"/>
        <v>0</v>
      </c>
      <c r="T57" s="83">
        <f t="shared" si="10"/>
        <v>0</v>
      </c>
      <c r="U57" s="83">
        <f t="shared" si="11"/>
        <v>0</v>
      </c>
      <c r="V57" s="94">
        <f t="shared" si="12"/>
        <v>0</v>
      </c>
    </row>
    <row r="58" spans="1:22" ht="15">
      <c r="A58" s="93">
        <f t="shared" si="6"/>
        <v>56</v>
      </c>
      <c r="B58" s="83"/>
      <c r="C58" s="83"/>
      <c r="D58" s="83"/>
      <c r="E58" s="83">
        <v>1</v>
      </c>
      <c r="F58" s="91" t="s">
        <v>85</v>
      </c>
      <c r="G58" s="83"/>
      <c r="H58" s="83">
        <v>0</v>
      </c>
      <c r="I58" s="83">
        <v>0</v>
      </c>
      <c r="J58" s="83">
        <v>0</v>
      </c>
      <c r="K58" s="83">
        <v>0</v>
      </c>
      <c r="L58" s="83">
        <v>0</v>
      </c>
      <c r="M58" s="83">
        <f>VLOOKUP(F58,'Прайс Лазер'!$L$3:$M$9,2,0)</f>
        <v>94</v>
      </c>
      <c r="N58" s="83">
        <v>25</v>
      </c>
      <c r="O58" s="90">
        <f>VLOOKUP(E58,'Прайс Лазер'!$I$4:$J$21,2,0)</f>
        <v>1.1499999999999999</v>
      </c>
      <c r="P58" s="83">
        <f>HLOOKUP('Оценка лазера'!$E58,'Прайс Лазер'!$C$26:$T$34,1+VLOOKUP(F58,'Прайс Лазер'!$A$26:$B$34,2,0),0)</f>
        <v>21.849999999999998</v>
      </c>
      <c r="Q58" s="83">
        <f t="shared" si="7"/>
        <v>0</v>
      </c>
      <c r="R58" s="83">
        <f t="shared" si="8"/>
        <v>0</v>
      </c>
      <c r="S58" s="83">
        <f t="shared" si="9"/>
        <v>0</v>
      </c>
      <c r="T58" s="83">
        <f t="shared" si="10"/>
        <v>0</v>
      </c>
      <c r="U58" s="83">
        <f t="shared" si="11"/>
        <v>0</v>
      </c>
      <c r="V58" s="94">
        <f t="shared" si="12"/>
        <v>0</v>
      </c>
    </row>
    <row r="59" spans="1:22" ht="15">
      <c r="A59" s="93">
        <f t="shared" si="6"/>
        <v>57</v>
      </c>
      <c r="B59" s="83"/>
      <c r="C59" s="83"/>
      <c r="D59" s="83"/>
      <c r="E59" s="83">
        <v>1</v>
      </c>
      <c r="F59" s="91" t="s">
        <v>85</v>
      </c>
      <c r="G59" s="83"/>
      <c r="H59" s="83">
        <v>0</v>
      </c>
      <c r="I59" s="83">
        <v>0</v>
      </c>
      <c r="J59" s="83">
        <v>0</v>
      </c>
      <c r="K59" s="83">
        <v>0</v>
      </c>
      <c r="L59" s="83">
        <v>0</v>
      </c>
      <c r="M59" s="83">
        <f>VLOOKUP(F59,'Прайс Лазер'!$L$3:$M$9,2,0)</f>
        <v>94</v>
      </c>
      <c r="N59" s="83">
        <v>25</v>
      </c>
      <c r="O59" s="90">
        <f>VLOOKUP(E59,'Прайс Лазер'!$I$4:$J$21,2,0)</f>
        <v>1.1499999999999999</v>
      </c>
      <c r="P59" s="83">
        <f>HLOOKUP('Оценка лазера'!$E59,'Прайс Лазер'!$C$26:$T$34,1+VLOOKUP(F59,'Прайс Лазер'!$A$26:$B$34,2,0),0)</f>
        <v>21.849999999999998</v>
      </c>
      <c r="Q59" s="83">
        <f t="shared" si="7"/>
        <v>0</v>
      </c>
      <c r="R59" s="83">
        <f t="shared" si="8"/>
        <v>0</v>
      </c>
      <c r="S59" s="83">
        <f t="shared" si="9"/>
        <v>0</v>
      </c>
      <c r="T59" s="83">
        <f t="shared" si="10"/>
        <v>0</v>
      </c>
      <c r="U59" s="83">
        <f t="shared" si="11"/>
        <v>0</v>
      </c>
      <c r="V59" s="94">
        <f t="shared" si="12"/>
        <v>0</v>
      </c>
    </row>
    <row r="60" spans="1:22" ht="15">
      <c r="A60" s="93">
        <f t="shared" si="6"/>
        <v>58</v>
      </c>
      <c r="B60" s="83"/>
      <c r="C60" s="83"/>
      <c r="D60" s="83"/>
      <c r="E60" s="83">
        <v>1</v>
      </c>
      <c r="F60" s="91" t="s">
        <v>85</v>
      </c>
      <c r="G60" s="83"/>
      <c r="H60" s="83">
        <v>0</v>
      </c>
      <c r="I60" s="83">
        <v>0</v>
      </c>
      <c r="J60" s="83">
        <v>0</v>
      </c>
      <c r="K60" s="83">
        <v>0</v>
      </c>
      <c r="L60" s="83">
        <v>0</v>
      </c>
      <c r="M60" s="83">
        <f>VLOOKUP(F60,'Прайс Лазер'!$L$3:$M$9,2,0)</f>
        <v>94</v>
      </c>
      <c r="N60" s="83">
        <v>25</v>
      </c>
      <c r="O60" s="90">
        <f>VLOOKUP(E60,'Прайс Лазер'!$I$4:$J$21,2,0)</f>
        <v>1.1499999999999999</v>
      </c>
      <c r="P60" s="83">
        <f>HLOOKUP('Оценка лазера'!$E60,'Прайс Лазер'!$C$26:$T$34,1+VLOOKUP(F60,'Прайс Лазер'!$A$26:$B$34,2,0),0)</f>
        <v>21.849999999999998</v>
      </c>
      <c r="Q60" s="83">
        <f t="shared" si="7"/>
        <v>0</v>
      </c>
      <c r="R60" s="83">
        <f t="shared" si="8"/>
        <v>0</v>
      </c>
      <c r="S60" s="83">
        <f t="shared" si="9"/>
        <v>0</v>
      </c>
      <c r="T60" s="83">
        <f t="shared" si="10"/>
        <v>0</v>
      </c>
      <c r="U60" s="83">
        <f t="shared" si="11"/>
        <v>0</v>
      </c>
      <c r="V60" s="94">
        <f t="shared" si="12"/>
        <v>0</v>
      </c>
    </row>
    <row r="61" spans="1:22" ht="15">
      <c r="A61" s="93">
        <f t="shared" si="6"/>
        <v>59</v>
      </c>
      <c r="B61" s="83"/>
      <c r="C61" s="83"/>
      <c r="D61" s="83"/>
      <c r="E61" s="83">
        <v>1</v>
      </c>
      <c r="F61" s="91" t="s">
        <v>85</v>
      </c>
      <c r="G61" s="83"/>
      <c r="H61" s="83">
        <v>0</v>
      </c>
      <c r="I61" s="83">
        <v>0</v>
      </c>
      <c r="J61" s="83">
        <v>0</v>
      </c>
      <c r="K61" s="83">
        <v>0</v>
      </c>
      <c r="L61" s="83">
        <v>0</v>
      </c>
      <c r="M61" s="83">
        <f>VLOOKUP(F61,'Прайс Лазер'!$L$3:$M$9,2,0)</f>
        <v>94</v>
      </c>
      <c r="N61" s="83">
        <v>25</v>
      </c>
      <c r="O61" s="90">
        <f>VLOOKUP(E61,'Прайс Лазер'!$I$4:$J$21,2,0)</f>
        <v>1.1499999999999999</v>
      </c>
      <c r="P61" s="83">
        <f>HLOOKUP('Оценка лазера'!$E61,'Прайс Лазер'!$C$26:$T$34,1+VLOOKUP(F61,'Прайс Лазер'!$A$26:$B$34,2,0),0)</f>
        <v>21.849999999999998</v>
      </c>
      <c r="Q61" s="83">
        <f t="shared" si="7"/>
        <v>0</v>
      </c>
      <c r="R61" s="83">
        <f t="shared" si="8"/>
        <v>0</v>
      </c>
      <c r="S61" s="83">
        <f t="shared" si="9"/>
        <v>0</v>
      </c>
      <c r="T61" s="83">
        <f t="shared" si="10"/>
        <v>0</v>
      </c>
      <c r="U61" s="83">
        <f t="shared" si="11"/>
        <v>0</v>
      </c>
      <c r="V61" s="94">
        <f t="shared" si="12"/>
        <v>0</v>
      </c>
    </row>
    <row r="62" spans="1:22" ht="15">
      <c r="A62" s="93">
        <f t="shared" si="6"/>
        <v>60</v>
      </c>
      <c r="B62" s="83"/>
      <c r="C62" s="83"/>
      <c r="D62" s="83"/>
      <c r="E62" s="83">
        <v>1</v>
      </c>
      <c r="F62" s="91" t="s">
        <v>85</v>
      </c>
      <c r="G62" s="83"/>
      <c r="H62" s="83">
        <v>0</v>
      </c>
      <c r="I62" s="83">
        <v>0</v>
      </c>
      <c r="J62" s="83">
        <v>0</v>
      </c>
      <c r="K62" s="83">
        <v>0</v>
      </c>
      <c r="L62" s="83">
        <v>0</v>
      </c>
      <c r="M62" s="83">
        <f>VLOOKUP(F62,'Прайс Лазер'!$L$3:$M$9,2,0)</f>
        <v>94</v>
      </c>
      <c r="N62" s="83">
        <v>25</v>
      </c>
      <c r="O62" s="90">
        <f>VLOOKUP(E62,'Прайс Лазер'!$I$4:$J$21,2,0)</f>
        <v>1.1499999999999999</v>
      </c>
      <c r="P62" s="83">
        <f>HLOOKUP('Оценка лазера'!$E62,'Прайс Лазер'!$C$26:$T$34,1+VLOOKUP(F62,'Прайс Лазер'!$A$26:$B$34,2,0),0)</f>
        <v>21.849999999999998</v>
      </c>
      <c r="Q62" s="83">
        <f t="shared" si="7"/>
        <v>0</v>
      </c>
      <c r="R62" s="83">
        <f t="shared" si="8"/>
        <v>0</v>
      </c>
      <c r="S62" s="83">
        <f t="shared" si="9"/>
        <v>0</v>
      </c>
      <c r="T62" s="83">
        <f t="shared" si="10"/>
        <v>0</v>
      </c>
      <c r="U62" s="83">
        <f t="shared" si="11"/>
        <v>0</v>
      </c>
      <c r="V62" s="94">
        <f t="shared" si="12"/>
        <v>0</v>
      </c>
    </row>
    <row r="63" spans="1:22" ht="15">
      <c r="A63" s="93">
        <f t="shared" si="6"/>
        <v>61</v>
      </c>
      <c r="B63" s="83"/>
      <c r="C63" s="83"/>
      <c r="D63" s="83"/>
      <c r="E63" s="83">
        <v>1</v>
      </c>
      <c r="F63" s="91" t="s">
        <v>85</v>
      </c>
      <c r="G63" s="83"/>
      <c r="H63" s="83">
        <v>0</v>
      </c>
      <c r="I63" s="83">
        <v>0</v>
      </c>
      <c r="J63" s="83">
        <v>0</v>
      </c>
      <c r="K63" s="83">
        <v>0</v>
      </c>
      <c r="L63" s="83">
        <v>0</v>
      </c>
      <c r="M63" s="83">
        <f>VLOOKUP(F63,'Прайс Лазер'!$L$3:$M$9,2,0)</f>
        <v>94</v>
      </c>
      <c r="N63" s="83">
        <v>25</v>
      </c>
      <c r="O63" s="90">
        <f>VLOOKUP(E63,'Прайс Лазер'!$I$4:$J$21,2,0)</f>
        <v>1.1499999999999999</v>
      </c>
      <c r="P63" s="83">
        <f>HLOOKUP('Оценка лазера'!$E63,'Прайс Лазер'!$C$26:$T$34,1+VLOOKUP(F63,'Прайс Лазер'!$A$26:$B$34,2,0),0)</f>
        <v>21.849999999999998</v>
      </c>
      <c r="Q63" s="83">
        <f t="shared" si="7"/>
        <v>0</v>
      </c>
      <c r="R63" s="83">
        <f t="shared" si="8"/>
        <v>0</v>
      </c>
      <c r="S63" s="83">
        <f t="shared" si="9"/>
        <v>0</v>
      </c>
      <c r="T63" s="83">
        <f t="shared" si="10"/>
        <v>0</v>
      </c>
      <c r="U63" s="83">
        <f t="shared" si="11"/>
        <v>0</v>
      </c>
      <c r="V63" s="94">
        <f t="shared" si="12"/>
        <v>0</v>
      </c>
    </row>
    <row r="64" spans="1:22" ht="15">
      <c r="A64" s="93">
        <f t="shared" si="6"/>
        <v>62</v>
      </c>
      <c r="B64" s="83"/>
      <c r="C64" s="83"/>
      <c r="D64" s="83"/>
      <c r="E64" s="83">
        <v>1</v>
      </c>
      <c r="F64" s="91" t="s">
        <v>85</v>
      </c>
      <c r="G64" s="83"/>
      <c r="H64" s="83">
        <v>0</v>
      </c>
      <c r="I64" s="83">
        <v>0</v>
      </c>
      <c r="J64" s="83">
        <v>0</v>
      </c>
      <c r="K64" s="83">
        <v>0</v>
      </c>
      <c r="L64" s="83">
        <v>0</v>
      </c>
      <c r="M64" s="83">
        <f>VLOOKUP(F64,'Прайс Лазер'!$L$3:$M$9,2,0)</f>
        <v>94</v>
      </c>
      <c r="N64" s="83">
        <v>25</v>
      </c>
      <c r="O64" s="90">
        <f>VLOOKUP(E64,'Прайс Лазер'!$I$4:$J$21,2,0)</f>
        <v>1.1499999999999999</v>
      </c>
      <c r="P64" s="83">
        <f>HLOOKUP('Оценка лазера'!$E64,'Прайс Лазер'!$C$26:$T$34,1+VLOOKUP(F64,'Прайс Лазер'!$A$26:$B$34,2,0),0)</f>
        <v>21.849999999999998</v>
      </c>
      <c r="Q64" s="83">
        <f t="shared" si="7"/>
        <v>0</v>
      </c>
      <c r="R64" s="83">
        <f t="shared" si="8"/>
        <v>0</v>
      </c>
      <c r="S64" s="83">
        <f t="shared" si="9"/>
        <v>0</v>
      </c>
      <c r="T64" s="83">
        <f t="shared" si="10"/>
        <v>0</v>
      </c>
      <c r="U64" s="83">
        <f t="shared" si="11"/>
        <v>0</v>
      </c>
      <c r="V64" s="94">
        <f t="shared" si="12"/>
        <v>0</v>
      </c>
    </row>
    <row r="65" spans="1:22" ht="15">
      <c r="A65" s="93">
        <f t="shared" si="6"/>
        <v>63</v>
      </c>
      <c r="B65" s="83"/>
      <c r="C65" s="83"/>
      <c r="D65" s="83"/>
      <c r="E65" s="83">
        <v>1</v>
      </c>
      <c r="F65" s="91" t="s">
        <v>85</v>
      </c>
      <c r="G65" s="83"/>
      <c r="H65" s="83">
        <v>0</v>
      </c>
      <c r="I65" s="83">
        <v>0</v>
      </c>
      <c r="J65" s="83">
        <v>0</v>
      </c>
      <c r="K65" s="83">
        <v>0</v>
      </c>
      <c r="L65" s="83">
        <v>0</v>
      </c>
      <c r="M65" s="83">
        <f>VLOOKUP(F65,'Прайс Лазер'!$L$3:$M$9,2,0)</f>
        <v>94</v>
      </c>
      <c r="N65" s="83">
        <v>25</v>
      </c>
      <c r="O65" s="90">
        <f>VLOOKUP(E65,'Прайс Лазер'!$I$4:$J$21,2,0)</f>
        <v>1.1499999999999999</v>
      </c>
      <c r="P65" s="83">
        <f>HLOOKUP('Оценка лазера'!$E65,'Прайс Лазер'!$C$26:$T$34,1+VLOOKUP(F65,'Прайс Лазер'!$A$26:$B$34,2,0),0)</f>
        <v>21.849999999999998</v>
      </c>
      <c r="Q65" s="83">
        <f t="shared" si="7"/>
        <v>0</v>
      </c>
      <c r="R65" s="83">
        <f t="shared" si="8"/>
        <v>0</v>
      </c>
      <c r="S65" s="83">
        <f t="shared" si="9"/>
        <v>0</v>
      </c>
      <c r="T65" s="83">
        <f t="shared" si="10"/>
        <v>0</v>
      </c>
      <c r="U65" s="83">
        <f t="shared" si="11"/>
        <v>0</v>
      </c>
      <c r="V65" s="94">
        <f t="shared" si="12"/>
        <v>0</v>
      </c>
    </row>
    <row r="66" spans="1:22" ht="15">
      <c r="A66" s="93">
        <f t="shared" si="6"/>
        <v>64</v>
      </c>
      <c r="B66" s="83"/>
      <c r="C66" s="83"/>
      <c r="D66" s="83"/>
      <c r="E66" s="83">
        <v>1</v>
      </c>
      <c r="F66" s="91" t="s">
        <v>85</v>
      </c>
      <c r="G66" s="83"/>
      <c r="H66" s="83">
        <v>0</v>
      </c>
      <c r="I66" s="83">
        <v>0</v>
      </c>
      <c r="J66" s="83">
        <v>0</v>
      </c>
      <c r="K66" s="83">
        <v>0</v>
      </c>
      <c r="L66" s="83">
        <v>0</v>
      </c>
      <c r="M66" s="83">
        <f>VLOOKUP(F66,'Прайс Лазер'!$L$3:$M$9,2,0)</f>
        <v>94</v>
      </c>
      <c r="N66" s="83">
        <v>25</v>
      </c>
      <c r="O66" s="90">
        <f>VLOOKUP(E66,'Прайс Лазер'!$I$4:$J$21,2,0)</f>
        <v>1.1499999999999999</v>
      </c>
      <c r="P66" s="83">
        <f>HLOOKUP('Оценка лазера'!$E66,'Прайс Лазер'!$C$26:$T$34,1+VLOOKUP(F66,'Прайс Лазер'!$A$26:$B$34,2,0),0)</f>
        <v>21.849999999999998</v>
      </c>
      <c r="Q66" s="83">
        <f t="shared" si="7"/>
        <v>0</v>
      </c>
      <c r="R66" s="83">
        <f t="shared" si="8"/>
        <v>0</v>
      </c>
      <c r="S66" s="83">
        <f t="shared" si="9"/>
        <v>0</v>
      </c>
      <c r="T66" s="83">
        <f t="shared" si="10"/>
        <v>0</v>
      </c>
      <c r="U66" s="83">
        <f t="shared" si="11"/>
        <v>0</v>
      </c>
      <c r="V66" s="94">
        <f t="shared" si="12"/>
        <v>0</v>
      </c>
    </row>
    <row r="67" spans="1:22" ht="15">
      <c r="A67" s="93">
        <f t="shared" si="6"/>
        <v>65</v>
      </c>
      <c r="B67" s="83"/>
      <c r="C67" s="83"/>
      <c r="D67" s="83"/>
      <c r="E67" s="83">
        <v>1</v>
      </c>
      <c r="F67" s="91" t="s">
        <v>85</v>
      </c>
      <c r="G67" s="83"/>
      <c r="H67" s="83">
        <v>0</v>
      </c>
      <c r="I67" s="83">
        <v>0</v>
      </c>
      <c r="J67" s="83">
        <v>0</v>
      </c>
      <c r="K67" s="83">
        <v>0</v>
      </c>
      <c r="L67" s="83">
        <v>0</v>
      </c>
      <c r="M67" s="83">
        <f>VLOOKUP(F67,'Прайс Лазер'!$L$3:$M$9,2,0)</f>
        <v>94</v>
      </c>
      <c r="N67" s="83">
        <v>25</v>
      </c>
      <c r="O67" s="90">
        <f>VLOOKUP(E67,'Прайс Лазер'!$I$4:$J$21,2,0)</f>
        <v>1.1499999999999999</v>
      </c>
      <c r="P67" s="83">
        <f>HLOOKUP('Оценка лазера'!$E67,'Прайс Лазер'!$C$26:$T$34,1+VLOOKUP(F67,'Прайс Лазер'!$A$26:$B$34,2,0),0)</f>
        <v>21.849999999999998</v>
      </c>
      <c r="Q67" s="83">
        <f t="shared" ref="Q67:Q130" si="13">H67*M67</f>
        <v>0</v>
      </c>
      <c r="R67" s="83">
        <f t="shared" ref="R67:R130" si="14">I67*N67</f>
        <v>0</v>
      </c>
      <c r="S67" s="83">
        <f t="shared" ref="S67:S130" si="15">(K67+L67)/1000*1.1*P67+(J67*O67)</f>
        <v>0</v>
      </c>
      <c r="T67" s="83">
        <f t="shared" si="10"/>
        <v>0</v>
      </c>
      <c r="U67" s="83">
        <f t="shared" ref="U67:U130" si="16">D67*T67</f>
        <v>0</v>
      </c>
      <c r="V67" s="94">
        <f t="shared" si="12"/>
        <v>0</v>
      </c>
    </row>
    <row r="68" spans="1:22" ht="15">
      <c r="A68" s="93">
        <f t="shared" si="6"/>
        <v>66</v>
      </c>
      <c r="B68" s="83"/>
      <c r="C68" s="83"/>
      <c r="D68" s="83"/>
      <c r="E68" s="83">
        <v>1</v>
      </c>
      <c r="F68" s="91" t="s">
        <v>85</v>
      </c>
      <c r="G68" s="83"/>
      <c r="H68" s="83">
        <v>0</v>
      </c>
      <c r="I68" s="83">
        <v>0</v>
      </c>
      <c r="J68" s="83">
        <v>0</v>
      </c>
      <c r="K68" s="83">
        <v>0</v>
      </c>
      <c r="L68" s="83">
        <v>0</v>
      </c>
      <c r="M68" s="83">
        <f>VLOOKUP(F68,'Прайс Лазер'!$L$3:$M$9,2,0)</f>
        <v>94</v>
      </c>
      <c r="N68" s="83">
        <v>25</v>
      </c>
      <c r="O68" s="90">
        <f>VLOOKUP(E68,'Прайс Лазер'!$I$4:$J$21,2,0)</f>
        <v>1.1499999999999999</v>
      </c>
      <c r="P68" s="83">
        <f>HLOOKUP('Оценка лазера'!$E68,'Прайс Лазер'!$C$26:$T$34,1+VLOOKUP(F68,'Прайс Лазер'!$A$26:$B$34,2,0),0)</f>
        <v>21.849999999999998</v>
      </c>
      <c r="Q68" s="83">
        <f t="shared" si="13"/>
        <v>0</v>
      </c>
      <c r="R68" s="83">
        <f t="shared" si="14"/>
        <v>0</v>
      </c>
      <c r="S68" s="83">
        <f t="shared" si="15"/>
        <v>0</v>
      </c>
      <c r="T68" s="83">
        <f t="shared" ref="T68:T131" si="17">Q68+R68+S68</f>
        <v>0</v>
      </c>
      <c r="U68" s="83">
        <f t="shared" si="16"/>
        <v>0</v>
      </c>
      <c r="V68" s="94">
        <f t="shared" ref="V68:V131" si="18">U68/1.2</f>
        <v>0</v>
      </c>
    </row>
    <row r="69" spans="1:22" ht="15">
      <c r="A69" s="93">
        <f t="shared" ref="A69:A132" si="19">A68+1</f>
        <v>67</v>
      </c>
      <c r="B69" s="83"/>
      <c r="C69" s="83"/>
      <c r="D69" s="83"/>
      <c r="E69" s="83">
        <v>1</v>
      </c>
      <c r="F69" s="91" t="s">
        <v>85</v>
      </c>
      <c r="G69" s="83"/>
      <c r="H69" s="83">
        <v>0</v>
      </c>
      <c r="I69" s="83">
        <v>0</v>
      </c>
      <c r="J69" s="83">
        <v>0</v>
      </c>
      <c r="K69" s="83">
        <v>0</v>
      </c>
      <c r="L69" s="83">
        <v>0</v>
      </c>
      <c r="M69" s="83">
        <f>VLOOKUP(F69,'Прайс Лазер'!$L$3:$M$9,2,0)</f>
        <v>94</v>
      </c>
      <c r="N69" s="83">
        <v>25</v>
      </c>
      <c r="O69" s="90">
        <f>VLOOKUP(E69,'Прайс Лазер'!$I$4:$J$21,2,0)</f>
        <v>1.1499999999999999</v>
      </c>
      <c r="P69" s="83">
        <f>HLOOKUP('Оценка лазера'!$E69,'Прайс Лазер'!$C$26:$T$34,1+VLOOKUP(F69,'Прайс Лазер'!$A$26:$B$34,2,0),0)</f>
        <v>21.849999999999998</v>
      </c>
      <c r="Q69" s="83">
        <f t="shared" si="13"/>
        <v>0</v>
      </c>
      <c r="R69" s="83">
        <f t="shared" si="14"/>
        <v>0</v>
      </c>
      <c r="S69" s="83">
        <f t="shared" si="15"/>
        <v>0</v>
      </c>
      <c r="T69" s="83">
        <f t="shared" si="17"/>
        <v>0</v>
      </c>
      <c r="U69" s="83">
        <f t="shared" si="16"/>
        <v>0</v>
      </c>
      <c r="V69" s="94">
        <f t="shared" si="18"/>
        <v>0</v>
      </c>
    </row>
    <row r="70" spans="1:22" ht="15">
      <c r="A70" s="93">
        <f t="shared" si="19"/>
        <v>68</v>
      </c>
      <c r="B70" s="83"/>
      <c r="C70" s="83"/>
      <c r="D70" s="83"/>
      <c r="E70" s="83">
        <v>1</v>
      </c>
      <c r="F70" s="91" t="s">
        <v>85</v>
      </c>
      <c r="G70" s="83"/>
      <c r="H70" s="83">
        <v>0</v>
      </c>
      <c r="I70" s="83">
        <v>0</v>
      </c>
      <c r="J70" s="83">
        <v>0</v>
      </c>
      <c r="K70" s="83">
        <v>0</v>
      </c>
      <c r="L70" s="83">
        <v>0</v>
      </c>
      <c r="M70" s="83">
        <f>VLOOKUP(F70,'Прайс Лазер'!$L$3:$M$9,2,0)</f>
        <v>94</v>
      </c>
      <c r="N70" s="83">
        <v>25</v>
      </c>
      <c r="O70" s="90">
        <f>VLOOKUP(E70,'Прайс Лазер'!$I$4:$J$21,2,0)</f>
        <v>1.1499999999999999</v>
      </c>
      <c r="P70" s="83">
        <f>HLOOKUP('Оценка лазера'!$E70,'Прайс Лазер'!$C$26:$T$34,1+VLOOKUP(F70,'Прайс Лазер'!$A$26:$B$34,2,0),0)</f>
        <v>21.849999999999998</v>
      </c>
      <c r="Q70" s="83">
        <f t="shared" si="13"/>
        <v>0</v>
      </c>
      <c r="R70" s="83">
        <f t="shared" si="14"/>
        <v>0</v>
      </c>
      <c r="S70" s="83">
        <f t="shared" si="15"/>
        <v>0</v>
      </c>
      <c r="T70" s="83">
        <f t="shared" si="17"/>
        <v>0</v>
      </c>
      <c r="U70" s="83">
        <f t="shared" si="16"/>
        <v>0</v>
      </c>
      <c r="V70" s="94">
        <f t="shared" si="18"/>
        <v>0</v>
      </c>
    </row>
    <row r="71" spans="1:22" ht="15">
      <c r="A71" s="93">
        <f t="shared" si="19"/>
        <v>69</v>
      </c>
      <c r="B71" s="83"/>
      <c r="C71" s="83"/>
      <c r="D71" s="83"/>
      <c r="E71" s="83">
        <v>1</v>
      </c>
      <c r="F71" s="91" t="s">
        <v>85</v>
      </c>
      <c r="G71" s="83"/>
      <c r="H71" s="83">
        <v>0</v>
      </c>
      <c r="I71" s="83">
        <v>0</v>
      </c>
      <c r="J71" s="83">
        <v>0</v>
      </c>
      <c r="K71" s="83">
        <v>0</v>
      </c>
      <c r="L71" s="83">
        <v>0</v>
      </c>
      <c r="M71" s="83">
        <f>VLOOKUP(F71,'Прайс Лазер'!$L$3:$M$9,2,0)</f>
        <v>94</v>
      </c>
      <c r="N71" s="83">
        <v>25</v>
      </c>
      <c r="O71" s="90">
        <f>VLOOKUP(E71,'Прайс Лазер'!$I$4:$J$21,2,0)</f>
        <v>1.1499999999999999</v>
      </c>
      <c r="P71" s="83">
        <f>HLOOKUP('Оценка лазера'!$E71,'Прайс Лазер'!$C$26:$T$34,1+VLOOKUP(F71,'Прайс Лазер'!$A$26:$B$34,2,0),0)</f>
        <v>21.849999999999998</v>
      </c>
      <c r="Q71" s="83">
        <f t="shared" si="13"/>
        <v>0</v>
      </c>
      <c r="R71" s="83">
        <f t="shared" si="14"/>
        <v>0</v>
      </c>
      <c r="S71" s="83">
        <f t="shared" si="15"/>
        <v>0</v>
      </c>
      <c r="T71" s="83">
        <f t="shared" si="17"/>
        <v>0</v>
      </c>
      <c r="U71" s="83">
        <f t="shared" si="16"/>
        <v>0</v>
      </c>
      <c r="V71" s="94">
        <f t="shared" si="18"/>
        <v>0</v>
      </c>
    </row>
    <row r="72" spans="1:22" ht="15">
      <c r="A72" s="93">
        <f t="shared" si="19"/>
        <v>70</v>
      </c>
      <c r="B72" s="83"/>
      <c r="C72" s="83"/>
      <c r="D72" s="83"/>
      <c r="E72" s="83">
        <v>1</v>
      </c>
      <c r="F72" s="91" t="s">
        <v>85</v>
      </c>
      <c r="G72" s="83"/>
      <c r="H72" s="83">
        <v>0</v>
      </c>
      <c r="I72" s="83">
        <v>0</v>
      </c>
      <c r="J72" s="83">
        <v>0</v>
      </c>
      <c r="K72" s="83">
        <v>0</v>
      </c>
      <c r="L72" s="83">
        <v>0</v>
      </c>
      <c r="M72" s="83">
        <f>VLOOKUP(F72,'Прайс Лазер'!$L$3:$M$9,2,0)</f>
        <v>94</v>
      </c>
      <c r="N72" s="83">
        <v>25</v>
      </c>
      <c r="O72" s="90">
        <f>VLOOKUP(E72,'Прайс Лазер'!$I$4:$J$21,2,0)</f>
        <v>1.1499999999999999</v>
      </c>
      <c r="P72" s="83">
        <f>HLOOKUP('Оценка лазера'!$E72,'Прайс Лазер'!$C$26:$T$34,1+VLOOKUP(F72,'Прайс Лазер'!$A$26:$B$34,2,0),0)</f>
        <v>21.849999999999998</v>
      </c>
      <c r="Q72" s="83">
        <f t="shared" si="13"/>
        <v>0</v>
      </c>
      <c r="R72" s="83">
        <f t="shared" si="14"/>
        <v>0</v>
      </c>
      <c r="S72" s="83">
        <f t="shared" si="15"/>
        <v>0</v>
      </c>
      <c r="T72" s="83">
        <f t="shared" si="17"/>
        <v>0</v>
      </c>
      <c r="U72" s="83">
        <f t="shared" si="16"/>
        <v>0</v>
      </c>
      <c r="V72" s="94">
        <f t="shared" si="18"/>
        <v>0</v>
      </c>
    </row>
    <row r="73" spans="1:22" ht="15">
      <c r="A73" s="93">
        <f t="shared" si="19"/>
        <v>71</v>
      </c>
      <c r="B73" s="83"/>
      <c r="C73" s="83"/>
      <c r="D73" s="83"/>
      <c r="E73" s="83">
        <v>1</v>
      </c>
      <c r="F73" s="91" t="s">
        <v>85</v>
      </c>
      <c r="G73" s="83"/>
      <c r="H73" s="83">
        <v>0</v>
      </c>
      <c r="I73" s="83">
        <v>0</v>
      </c>
      <c r="J73" s="83">
        <v>0</v>
      </c>
      <c r="K73" s="83">
        <v>0</v>
      </c>
      <c r="L73" s="83">
        <v>0</v>
      </c>
      <c r="M73" s="83">
        <f>VLOOKUP(F73,'Прайс Лазер'!$L$3:$M$9,2,0)</f>
        <v>94</v>
      </c>
      <c r="N73" s="83">
        <v>25</v>
      </c>
      <c r="O73" s="90">
        <f>VLOOKUP(E73,'Прайс Лазер'!$I$4:$J$21,2,0)</f>
        <v>1.1499999999999999</v>
      </c>
      <c r="P73" s="83">
        <f>HLOOKUP('Оценка лазера'!$E73,'Прайс Лазер'!$C$26:$T$34,1+VLOOKUP(F73,'Прайс Лазер'!$A$26:$B$34,2,0),0)</f>
        <v>21.849999999999998</v>
      </c>
      <c r="Q73" s="83">
        <f t="shared" si="13"/>
        <v>0</v>
      </c>
      <c r="R73" s="83">
        <f t="shared" si="14"/>
        <v>0</v>
      </c>
      <c r="S73" s="83">
        <f t="shared" si="15"/>
        <v>0</v>
      </c>
      <c r="T73" s="83">
        <f t="shared" si="17"/>
        <v>0</v>
      </c>
      <c r="U73" s="83">
        <f t="shared" si="16"/>
        <v>0</v>
      </c>
      <c r="V73" s="94">
        <f t="shared" si="18"/>
        <v>0</v>
      </c>
    </row>
    <row r="74" spans="1:22" ht="15">
      <c r="A74" s="93">
        <f t="shared" si="19"/>
        <v>72</v>
      </c>
      <c r="B74" s="83"/>
      <c r="C74" s="83"/>
      <c r="D74" s="83"/>
      <c r="E74" s="83">
        <v>1</v>
      </c>
      <c r="F74" s="91" t="s">
        <v>85</v>
      </c>
      <c r="G74" s="83"/>
      <c r="H74" s="83">
        <v>0</v>
      </c>
      <c r="I74" s="83">
        <v>0</v>
      </c>
      <c r="J74" s="83">
        <v>0</v>
      </c>
      <c r="K74" s="83">
        <v>0</v>
      </c>
      <c r="L74" s="83">
        <v>0</v>
      </c>
      <c r="M74" s="83">
        <f>VLOOKUP(F74,'Прайс Лазер'!$L$3:$M$9,2,0)</f>
        <v>94</v>
      </c>
      <c r="N74" s="83">
        <v>25</v>
      </c>
      <c r="O74" s="90">
        <f>VLOOKUP(E74,'Прайс Лазер'!$I$4:$J$21,2,0)</f>
        <v>1.1499999999999999</v>
      </c>
      <c r="P74" s="83">
        <f>HLOOKUP('Оценка лазера'!$E74,'Прайс Лазер'!$C$26:$T$34,1+VLOOKUP(F74,'Прайс Лазер'!$A$26:$B$34,2,0),0)</f>
        <v>21.849999999999998</v>
      </c>
      <c r="Q74" s="83">
        <f t="shared" si="13"/>
        <v>0</v>
      </c>
      <c r="R74" s="83">
        <f t="shared" si="14"/>
        <v>0</v>
      </c>
      <c r="S74" s="83">
        <f t="shared" si="15"/>
        <v>0</v>
      </c>
      <c r="T74" s="83">
        <f t="shared" si="17"/>
        <v>0</v>
      </c>
      <c r="U74" s="83">
        <f t="shared" si="16"/>
        <v>0</v>
      </c>
      <c r="V74" s="94">
        <f t="shared" si="18"/>
        <v>0</v>
      </c>
    </row>
    <row r="75" spans="1:22" ht="15">
      <c r="A75" s="93">
        <f t="shared" si="19"/>
        <v>73</v>
      </c>
      <c r="B75" s="83"/>
      <c r="C75" s="83"/>
      <c r="D75" s="83"/>
      <c r="E75" s="83">
        <v>1</v>
      </c>
      <c r="F75" s="91" t="s">
        <v>85</v>
      </c>
      <c r="G75" s="83"/>
      <c r="H75" s="83">
        <v>0</v>
      </c>
      <c r="I75" s="83">
        <v>0</v>
      </c>
      <c r="J75" s="83">
        <v>0</v>
      </c>
      <c r="K75" s="83">
        <v>0</v>
      </c>
      <c r="L75" s="83">
        <v>0</v>
      </c>
      <c r="M75" s="83">
        <f>VLOOKUP(F75,'Прайс Лазер'!$L$3:$M$9,2,0)</f>
        <v>94</v>
      </c>
      <c r="N75" s="83">
        <v>25</v>
      </c>
      <c r="O75" s="90">
        <f>VLOOKUP(E75,'Прайс Лазер'!$I$4:$J$21,2,0)</f>
        <v>1.1499999999999999</v>
      </c>
      <c r="P75" s="83">
        <f>HLOOKUP('Оценка лазера'!$E75,'Прайс Лазер'!$C$26:$T$34,1+VLOOKUP(F75,'Прайс Лазер'!$A$26:$B$34,2,0),0)</f>
        <v>21.849999999999998</v>
      </c>
      <c r="Q75" s="83">
        <f t="shared" si="13"/>
        <v>0</v>
      </c>
      <c r="R75" s="83">
        <f t="shared" si="14"/>
        <v>0</v>
      </c>
      <c r="S75" s="83">
        <f t="shared" si="15"/>
        <v>0</v>
      </c>
      <c r="T75" s="83">
        <f t="shared" si="17"/>
        <v>0</v>
      </c>
      <c r="U75" s="83">
        <f t="shared" si="16"/>
        <v>0</v>
      </c>
      <c r="V75" s="94">
        <f t="shared" si="18"/>
        <v>0</v>
      </c>
    </row>
    <row r="76" spans="1:22" ht="15">
      <c r="A76" s="93">
        <f t="shared" si="19"/>
        <v>74</v>
      </c>
      <c r="B76" s="83"/>
      <c r="C76" s="83"/>
      <c r="D76" s="83"/>
      <c r="E76" s="83">
        <v>1</v>
      </c>
      <c r="F76" s="91" t="s">
        <v>85</v>
      </c>
      <c r="G76" s="83"/>
      <c r="H76" s="83">
        <v>0</v>
      </c>
      <c r="I76" s="83">
        <v>0</v>
      </c>
      <c r="J76" s="83">
        <v>0</v>
      </c>
      <c r="K76" s="83">
        <v>0</v>
      </c>
      <c r="L76" s="83">
        <v>0</v>
      </c>
      <c r="M76" s="83">
        <f>VLOOKUP(F76,'Прайс Лазер'!$L$3:$M$9,2,0)</f>
        <v>94</v>
      </c>
      <c r="N76" s="83">
        <v>25</v>
      </c>
      <c r="O76" s="90">
        <f>VLOOKUP(E76,'Прайс Лазер'!$I$4:$J$21,2,0)</f>
        <v>1.1499999999999999</v>
      </c>
      <c r="P76" s="83">
        <f>HLOOKUP('Оценка лазера'!$E76,'Прайс Лазер'!$C$26:$T$34,1+VLOOKUP(F76,'Прайс Лазер'!$A$26:$B$34,2,0),0)</f>
        <v>21.849999999999998</v>
      </c>
      <c r="Q76" s="83">
        <f t="shared" si="13"/>
        <v>0</v>
      </c>
      <c r="R76" s="83">
        <f t="shared" si="14"/>
        <v>0</v>
      </c>
      <c r="S76" s="83">
        <f t="shared" si="15"/>
        <v>0</v>
      </c>
      <c r="T76" s="83">
        <f t="shared" si="17"/>
        <v>0</v>
      </c>
      <c r="U76" s="83">
        <f t="shared" si="16"/>
        <v>0</v>
      </c>
      <c r="V76" s="94">
        <f t="shared" si="18"/>
        <v>0</v>
      </c>
    </row>
    <row r="77" spans="1:22" ht="15">
      <c r="A77" s="93">
        <f t="shared" si="19"/>
        <v>75</v>
      </c>
      <c r="B77" s="83"/>
      <c r="C77" s="83"/>
      <c r="D77" s="83"/>
      <c r="E77" s="83">
        <v>1</v>
      </c>
      <c r="F77" s="91" t="s">
        <v>85</v>
      </c>
      <c r="G77" s="83"/>
      <c r="H77" s="83">
        <v>0</v>
      </c>
      <c r="I77" s="83">
        <v>0</v>
      </c>
      <c r="J77" s="83">
        <v>0</v>
      </c>
      <c r="K77" s="83">
        <v>0</v>
      </c>
      <c r="L77" s="83">
        <v>0</v>
      </c>
      <c r="M77" s="83">
        <f>VLOOKUP(F77,'Прайс Лазер'!$L$3:$M$9,2,0)</f>
        <v>94</v>
      </c>
      <c r="N77" s="83">
        <v>25</v>
      </c>
      <c r="O77" s="90">
        <f>VLOOKUP(E77,'Прайс Лазер'!$I$4:$J$21,2,0)</f>
        <v>1.1499999999999999</v>
      </c>
      <c r="P77" s="83">
        <f>HLOOKUP('Оценка лазера'!$E77,'Прайс Лазер'!$C$26:$T$34,1+VLOOKUP(F77,'Прайс Лазер'!$A$26:$B$34,2,0),0)</f>
        <v>21.849999999999998</v>
      </c>
      <c r="Q77" s="83">
        <f t="shared" si="13"/>
        <v>0</v>
      </c>
      <c r="R77" s="83">
        <f t="shared" si="14"/>
        <v>0</v>
      </c>
      <c r="S77" s="83">
        <f t="shared" si="15"/>
        <v>0</v>
      </c>
      <c r="T77" s="83">
        <f t="shared" si="17"/>
        <v>0</v>
      </c>
      <c r="U77" s="83">
        <f t="shared" si="16"/>
        <v>0</v>
      </c>
      <c r="V77" s="94">
        <f t="shared" si="18"/>
        <v>0</v>
      </c>
    </row>
    <row r="78" spans="1:22" ht="15">
      <c r="A78" s="93">
        <f t="shared" si="19"/>
        <v>76</v>
      </c>
      <c r="B78" s="83"/>
      <c r="C78" s="83"/>
      <c r="D78" s="83"/>
      <c r="E78" s="83">
        <v>1</v>
      </c>
      <c r="F78" s="91" t="s">
        <v>85</v>
      </c>
      <c r="G78" s="83"/>
      <c r="H78" s="83">
        <v>0</v>
      </c>
      <c r="I78" s="83">
        <v>0</v>
      </c>
      <c r="J78" s="83">
        <v>0</v>
      </c>
      <c r="K78" s="83">
        <v>0</v>
      </c>
      <c r="L78" s="83">
        <v>0</v>
      </c>
      <c r="M78" s="83">
        <f>VLOOKUP(F78,'Прайс Лазер'!$L$3:$M$9,2,0)</f>
        <v>94</v>
      </c>
      <c r="N78" s="83">
        <v>25</v>
      </c>
      <c r="O78" s="90">
        <f>VLOOKUP(E78,'Прайс Лазер'!$I$4:$J$21,2,0)</f>
        <v>1.1499999999999999</v>
      </c>
      <c r="P78" s="83">
        <f>HLOOKUP('Оценка лазера'!$E78,'Прайс Лазер'!$C$26:$T$34,1+VLOOKUP(F78,'Прайс Лазер'!$A$26:$B$34,2,0),0)</f>
        <v>21.849999999999998</v>
      </c>
      <c r="Q78" s="83">
        <f t="shared" si="13"/>
        <v>0</v>
      </c>
      <c r="R78" s="83">
        <f t="shared" si="14"/>
        <v>0</v>
      </c>
      <c r="S78" s="83">
        <f t="shared" si="15"/>
        <v>0</v>
      </c>
      <c r="T78" s="83">
        <f t="shared" si="17"/>
        <v>0</v>
      </c>
      <c r="U78" s="83">
        <f t="shared" si="16"/>
        <v>0</v>
      </c>
      <c r="V78" s="94">
        <f t="shared" si="18"/>
        <v>0</v>
      </c>
    </row>
    <row r="79" spans="1:22" ht="15">
      <c r="A79" s="93">
        <f t="shared" si="19"/>
        <v>77</v>
      </c>
      <c r="B79" s="83"/>
      <c r="C79" s="83"/>
      <c r="D79" s="83"/>
      <c r="E79" s="83">
        <v>1</v>
      </c>
      <c r="F79" s="91" t="s">
        <v>85</v>
      </c>
      <c r="G79" s="83"/>
      <c r="H79" s="83">
        <v>0</v>
      </c>
      <c r="I79" s="83">
        <v>0</v>
      </c>
      <c r="J79" s="83">
        <v>0</v>
      </c>
      <c r="K79" s="83">
        <v>0</v>
      </c>
      <c r="L79" s="83">
        <v>0</v>
      </c>
      <c r="M79" s="83">
        <f>VLOOKUP(F79,'Прайс Лазер'!$L$3:$M$9,2,0)</f>
        <v>94</v>
      </c>
      <c r="N79" s="83">
        <v>25</v>
      </c>
      <c r="O79" s="90">
        <f>VLOOKUP(E79,'Прайс Лазер'!$I$4:$J$21,2,0)</f>
        <v>1.1499999999999999</v>
      </c>
      <c r="P79" s="83">
        <f>HLOOKUP('Оценка лазера'!$E79,'Прайс Лазер'!$C$26:$T$34,1+VLOOKUP(F79,'Прайс Лазер'!$A$26:$B$34,2,0),0)</f>
        <v>21.849999999999998</v>
      </c>
      <c r="Q79" s="83">
        <f t="shared" si="13"/>
        <v>0</v>
      </c>
      <c r="R79" s="83">
        <f t="shared" si="14"/>
        <v>0</v>
      </c>
      <c r="S79" s="83">
        <f t="shared" si="15"/>
        <v>0</v>
      </c>
      <c r="T79" s="83">
        <f t="shared" si="17"/>
        <v>0</v>
      </c>
      <c r="U79" s="83">
        <f t="shared" si="16"/>
        <v>0</v>
      </c>
      <c r="V79" s="94">
        <f t="shared" si="18"/>
        <v>0</v>
      </c>
    </row>
    <row r="80" spans="1:22" ht="15">
      <c r="A80" s="93">
        <f t="shared" si="19"/>
        <v>78</v>
      </c>
      <c r="B80" s="83"/>
      <c r="C80" s="83"/>
      <c r="D80" s="83"/>
      <c r="E80" s="83">
        <v>1</v>
      </c>
      <c r="F80" s="91" t="s">
        <v>85</v>
      </c>
      <c r="G80" s="83"/>
      <c r="H80" s="83">
        <v>0</v>
      </c>
      <c r="I80" s="83">
        <v>0</v>
      </c>
      <c r="J80" s="83">
        <v>0</v>
      </c>
      <c r="K80" s="83">
        <v>0</v>
      </c>
      <c r="L80" s="83">
        <v>0</v>
      </c>
      <c r="M80" s="83">
        <f>VLOOKUP(F80,'Прайс Лазер'!$L$3:$M$9,2,0)</f>
        <v>94</v>
      </c>
      <c r="N80" s="83">
        <v>25</v>
      </c>
      <c r="O80" s="90">
        <f>VLOOKUP(E80,'Прайс Лазер'!$I$4:$J$21,2,0)</f>
        <v>1.1499999999999999</v>
      </c>
      <c r="P80" s="83">
        <f>HLOOKUP('Оценка лазера'!$E80,'Прайс Лазер'!$C$26:$T$34,1+VLOOKUP(F80,'Прайс Лазер'!$A$26:$B$34,2,0),0)</f>
        <v>21.849999999999998</v>
      </c>
      <c r="Q80" s="83">
        <f t="shared" si="13"/>
        <v>0</v>
      </c>
      <c r="R80" s="83">
        <f t="shared" si="14"/>
        <v>0</v>
      </c>
      <c r="S80" s="83">
        <f t="shared" si="15"/>
        <v>0</v>
      </c>
      <c r="T80" s="83">
        <f t="shared" si="17"/>
        <v>0</v>
      </c>
      <c r="U80" s="83">
        <f t="shared" si="16"/>
        <v>0</v>
      </c>
      <c r="V80" s="94">
        <f t="shared" si="18"/>
        <v>0</v>
      </c>
    </row>
    <row r="81" spans="1:22" ht="15">
      <c r="A81" s="93">
        <f t="shared" si="19"/>
        <v>79</v>
      </c>
      <c r="B81" s="83"/>
      <c r="C81" s="83"/>
      <c r="D81" s="83"/>
      <c r="E81" s="83">
        <v>1</v>
      </c>
      <c r="F81" s="91" t="s">
        <v>85</v>
      </c>
      <c r="G81" s="83"/>
      <c r="H81" s="83">
        <v>0</v>
      </c>
      <c r="I81" s="83">
        <v>0</v>
      </c>
      <c r="J81" s="83">
        <v>0</v>
      </c>
      <c r="K81" s="83">
        <v>0</v>
      </c>
      <c r="L81" s="83">
        <v>0</v>
      </c>
      <c r="M81" s="83">
        <f>VLOOKUP(F81,'Прайс Лазер'!$L$3:$M$9,2,0)</f>
        <v>94</v>
      </c>
      <c r="N81" s="83">
        <v>25</v>
      </c>
      <c r="O81" s="90">
        <f>VLOOKUP(E81,'Прайс Лазер'!$I$4:$J$21,2,0)</f>
        <v>1.1499999999999999</v>
      </c>
      <c r="P81" s="83">
        <f>HLOOKUP('Оценка лазера'!$E81,'Прайс Лазер'!$C$26:$T$34,1+VLOOKUP(F81,'Прайс Лазер'!$A$26:$B$34,2,0),0)</f>
        <v>21.849999999999998</v>
      </c>
      <c r="Q81" s="83">
        <f t="shared" si="13"/>
        <v>0</v>
      </c>
      <c r="R81" s="83">
        <f t="shared" si="14"/>
        <v>0</v>
      </c>
      <c r="S81" s="83">
        <f t="shared" si="15"/>
        <v>0</v>
      </c>
      <c r="T81" s="83">
        <f t="shared" si="17"/>
        <v>0</v>
      </c>
      <c r="U81" s="83">
        <f t="shared" si="16"/>
        <v>0</v>
      </c>
      <c r="V81" s="94">
        <f t="shared" si="18"/>
        <v>0</v>
      </c>
    </row>
    <row r="82" spans="1:22" ht="15">
      <c r="A82" s="93">
        <f t="shared" si="19"/>
        <v>80</v>
      </c>
      <c r="B82" s="83"/>
      <c r="C82" s="83"/>
      <c r="D82" s="83"/>
      <c r="E82" s="83">
        <v>1</v>
      </c>
      <c r="F82" s="91" t="s">
        <v>85</v>
      </c>
      <c r="G82" s="83"/>
      <c r="H82" s="83">
        <v>0</v>
      </c>
      <c r="I82" s="83">
        <v>0</v>
      </c>
      <c r="J82" s="83">
        <v>0</v>
      </c>
      <c r="K82" s="83">
        <v>0</v>
      </c>
      <c r="L82" s="83">
        <v>0</v>
      </c>
      <c r="M82" s="83">
        <f>VLOOKUP(F82,'Прайс Лазер'!$L$3:$M$9,2,0)</f>
        <v>94</v>
      </c>
      <c r="N82" s="83">
        <v>25</v>
      </c>
      <c r="O82" s="90">
        <f>VLOOKUP(E82,'Прайс Лазер'!$I$4:$J$21,2,0)</f>
        <v>1.1499999999999999</v>
      </c>
      <c r="P82" s="83">
        <f>HLOOKUP('Оценка лазера'!$E82,'Прайс Лазер'!$C$26:$T$34,1+VLOOKUP(F82,'Прайс Лазер'!$A$26:$B$34,2,0),0)</f>
        <v>21.849999999999998</v>
      </c>
      <c r="Q82" s="83">
        <f t="shared" si="13"/>
        <v>0</v>
      </c>
      <c r="R82" s="83">
        <f t="shared" si="14"/>
        <v>0</v>
      </c>
      <c r="S82" s="83">
        <f t="shared" si="15"/>
        <v>0</v>
      </c>
      <c r="T82" s="83">
        <f t="shared" si="17"/>
        <v>0</v>
      </c>
      <c r="U82" s="83">
        <f t="shared" si="16"/>
        <v>0</v>
      </c>
      <c r="V82" s="94">
        <f t="shared" si="18"/>
        <v>0</v>
      </c>
    </row>
    <row r="83" spans="1:22" ht="15">
      <c r="A83" s="93">
        <f t="shared" si="19"/>
        <v>81</v>
      </c>
      <c r="B83" s="83"/>
      <c r="C83" s="83"/>
      <c r="D83" s="83"/>
      <c r="E83" s="83">
        <v>1</v>
      </c>
      <c r="F83" s="91" t="s">
        <v>85</v>
      </c>
      <c r="G83" s="83"/>
      <c r="H83" s="83">
        <v>0</v>
      </c>
      <c r="I83" s="83">
        <v>0</v>
      </c>
      <c r="J83" s="83">
        <v>0</v>
      </c>
      <c r="K83" s="83">
        <v>0</v>
      </c>
      <c r="L83" s="83">
        <v>0</v>
      </c>
      <c r="M83" s="83">
        <f>VLOOKUP(F83,'Прайс Лазер'!$L$3:$M$9,2,0)</f>
        <v>94</v>
      </c>
      <c r="N83" s="83">
        <v>25</v>
      </c>
      <c r="O83" s="90">
        <f>VLOOKUP(E83,'Прайс Лазер'!$I$4:$J$21,2,0)</f>
        <v>1.1499999999999999</v>
      </c>
      <c r="P83" s="83">
        <f>HLOOKUP('Оценка лазера'!$E83,'Прайс Лазер'!$C$26:$T$34,1+VLOOKUP(F83,'Прайс Лазер'!$A$26:$B$34,2,0),0)</f>
        <v>21.849999999999998</v>
      </c>
      <c r="Q83" s="83">
        <f t="shared" si="13"/>
        <v>0</v>
      </c>
      <c r="R83" s="83">
        <f t="shared" si="14"/>
        <v>0</v>
      </c>
      <c r="S83" s="83">
        <f t="shared" si="15"/>
        <v>0</v>
      </c>
      <c r="T83" s="83">
        <f t="shared" si="17"/>
        <v>0</v>
      </c>
      <c r="U83" s="83">
        <f t="shared" si="16"/>
        <v>0</v>
      </c>
      <c r="V83" s="94">
        <f t="shared" si="18"/>
        <v>0</v>
      </c>
    </row>
    <row r="84" spans="1:22" ht="15">
      <c r="A84" s="93">
        <f t="shared" si="19"/>
        <v>82</v>
      </c>
      <c r="B84" s="83"/>
      <c r="C84" s="83"/>
      <c r="D84" s="83"/>
      <c r="E84" s="83">
        <v>1</v>
      </c>
      <c r="F84" s="91" t="s">
        <v>85</v>
      </c>
      <c r="G84" s="83"/>
      <c r="H84" s="83">
        <v>0</v>
      </c>
      <c r="I84" s="83">
        <v>0</v>
      </c>
      <c r="J84" s="83">
        <v>0</v>
      </c>
      <c r="K84" s="83">
        <v>0</v>
      </c>
      <c r="L84" s="83">
        <v>0</v>
      </c>
      <c r="M84" s="83">
        <f>VLOOKUP(F84,'Прайс Лазер'!$L$3:$M$9,2,0)</f>
        <v>94</v>
      </c>
      <c r="N84" s="83">
        <v>25</v>
      </c>
      <c r="O84" s="90">
        <f>VLOOKUP(E84,'Прайс Лазер'!$I$4:$J$21,2,0)</f>
        <v>1.1499999999999999</v>
      </c>
      <c r="P84" s="83">
        <f>HLOOKUP('Оценка лазера'!$E84,'Прайс Лазер'!$C$26:$T$34,1+VLOOKUP(F84,'Прайс Лазер'!$A$26:$B$34,2,0),0)</f>
        <v>21.849999999999998</v>
      </c>
      <c r="Q84" s="83">
        <f t="shared" si="13"/>
        <v>0</v>
      </c>
      <c r="R84" s="83">
        <f t="shared" si="14"/>
        <v>0</v>
      </c>
      <c r="S84" s="83">
        <f t="shared" si="15"/>
        <v>0</v>
      </c>
      <c r="T84" s="83">
        <f t="shared" si="17"/>
        <v>0</v>
      </c>
      <c r="U84" s="83">
        <f t="shared" si="16"/>
        <v>0</v>
      </c>
      <c r="V84" s="94">
        <f t="shared" si="18"/>
        <v>0</v>
      </c>
    </row>
    <row r="85" spans="1:22" ht="15">
      <c r="A85" s="93">
        <f t="shared" si="19"/>
        <v>83</v>
      </c>
      <c r="B85" s="83"/>
      <c r="C85" s="83"/>
      <c r="D85" s="83"/>
      <c r="E85" s="83">
        <v>1</v>
      </c>
      <c r="F85" s="91" t="s">
        <v>85</v>
      </c>
      <c r="G85" s="83"/>
      <c r="H85" s="83">
        <v>0</v>
      </c>
      <c r="I85" s="83">
        <v>0</v>
      </c>
      <c r="J85" s="83">
        <v>0</v>
      </c>
      <c r="K85" s="83">
        <v>0</v>
      </c>
      <c r="L85" s="83">
        <v>0</v>
      </c>
      <c r="M85" s="83">
        <f>VLOOKUP(F85,'Прайс Лазер'!$L$3:$M$9,2,0)</f>
        <v>94</v>
      </c>
      <c r="N85" s="83">
        <v>25</v>
      </c>
      <c r="O85" s="90">
        <f>VLOOKUP(E85,'Прайс Лазер'!$I$4:$J$21,2,0)</f>
        <v>1.1499999999999999</v>
      </c>
      <c r="P85" s="83">
        <f>HLOOKUP('Оценка лазера'!$E85,'Прайс Лазер'!$C$26:$T$34,1+VLOOKUP(F85,'Прайс Лазер'!$A$26:$B$34,2,0),0)</f>
        <v>21.849999999999998</v>
      </c>
      <c r="Q85" s="83">
        <f t="shared" si="13"/>
        <v>0</v>
      </c>
      <c r="R85" s="83">
        <f t="shared" si="14"/>
        <v>0</v>
      </c>
      <c r="S85" s="83">
        <f t="shared" si="15"/>
        <v>0</v>
      </c>
      <c r="T85" s="83">
        <f t="shared" si="17"/>
        <v>0</v>
      </c>
      <c r="U85" s="83">
        <f t="shared" si="16"/>
        <v>0</v>
      </c>
      <c r="V85" s="94">
        <f t="shared" si="18"/>
        <v>0</v>
      </c>
    </row>
    <row r="86" spans="1:22" ht="15">
      <c r="A86" s="93">
        <f t="shared" si="19"/>
        <v>84</v>
      </c>
      <c r="B86" s="83"/>
      <c r="C86" s="83"/>
      <c r="D86" s="83"/>
      <c r="E86" s="83">
        <v>1</v>
      </c>
      <c r="F86" s="91" t="s">
        <v>85</v>
      </c>
      <c r="G86" s="83"/>
      <c r="H86" s="83">
        <v>0</v>
      </c>
      <c r="I86" s="83">
        <v>0</v>
      </c>
      <c r="J86" s="83">
        <v>0</v>
      </c>
      <c r="K86" s="83">
        <v>0</v>
      </c>
      <c r="L86" s="83">
        <v>0</v>
      </c>
      <c r="M86" s="83">
        <f>VLOOKUP(F86,'Прайс Лазер'!$L$3:$M$9,2,0)</f>
        <v>94</v>
      </c>
      <c r="N86" s="83">
        <v>25</v>
      </c>
      <c r="O86" s="90">
        <f>VLOOKUP(E86,'Прайс Лазер'!$I$4:$J$21,2,0)</f>
        <v>1.1499999999999999</v>
      </c>
      <c r="P86" s="83">
        <f>HLOOKUP('Оценка лазера'!$E86,'Прайс Лазер'!$C$26:$T$34,1+VLOOKUP(F86,'Прайс Лазер'!$A$26:$B$34,2,0),0)</f>
        <v>21.849999999999998</v>
      </c>
      <c r="Q86" s="83">
        <f t="shared" si="13"/>
        <v>0</v>
      </c>
      <c r="R86" s="83">
        <f t="shared" si="14"/>
        <v>0</v>
      </c>
      <c r="S86" s="83">
        <f t="shared" si="15"/>
        <v>0</v>
      </c>
      <c r="T86" s="83">
        <f t="shared" si="17"/>
        <v>0</v>
      </c>
      <c r="U86" s="83">
        <f t="shared" si="16"/>
        <v>0</v>
      </c>
      <c r="V86" s="94">
        <f t="shared" si="18"/>
        <v>0</v>
      </c>
    </row>
    <row r="87" spans="1:22" ht="15">
      <c r="A87" s="93">
        <f t="shared" si="19"/>
        <v>85</v>
      </c>
      <c r="B87" s="83"/>
      <c r="C87" s="83"/>
      <c r="D87" s="83"/>
      <c r="E87" s="83">
        <v>1</v>
      </c>
      <c r="F87" s="91" t="s">
        <v>85</v>
      </c>
      <c r="G87" s="83"/>
      <c r="H87" s="83">
        <v>0</v>
      </c>
      <c r="I87" s="83">
        <v>0</v>
      </c>
      <c r="J87" s="83">
        <v>0</v>
      </c>
      <c r="K87" s="83">
        <v>0</v>
      </c>
      <c r="L87" s="83">
        <v>0</v>
      </c>
      <c r="M87" s="83">
        <f>VLOOKUP(F87,'Прайс Лазер'!$L$3:$M$9,2,0)</f>
        <v>94</v>
      </c>
      <c r="N87" s="83">
        <v>25</v>
      </c>
      <c r="O87" s="90">
        <f>VLOOKUP(E87,'Прайс Лазер'!$I$4:$J$21,2,0)</f>
        <v>1.1499999999999999</v>
      </c>
      <c r="P87" s="83">
        <f>HLOOKUP('Оценка лазера'!$E87,'Прайс Лазер'!$C$26:$T$34,1+VLOOKUP(F87,'Прайс Лазер'!$A$26:$B$34,2,0),0)</f>
        <v>21.849999999999998</v>
      </c>
      <c r="Q87" s="83">
        <f t="shared" si="13"/>
        <v>0</v>
      </c>
      <c r="R87" s="83">
        <f t="shared" si="14"/>
        <v>0</v>
      </c>
      <c r="S87" s="83">
        <f t="shared" si="15"/>
        <v>0</v>
      </c>
      <c r="T87" s="83">
        <f t="shared" si="17"/>
        <v>0</v>
      </c>
      <c r="U87" s="83">
        <f t="shared" si="16"/>
        <v>0</v>
      </c>
      <c r="V87" s="94">
        <f t="shared" si="18"/>
        <v>0</v>
      </c>
    </row>
    <row r="88" spans="1:22" ht="15">
      <c r="A88" s="93">
        <f t="shared" si="19"/>
        <v>86</v>
      </c>
      <c r="B88" s="83"/>
      <c r="C88" s="83"/>
      <c r="D88" s="83"/>
      <c r="E88" s="83">
        <v>1</v>
      </c>
      <c r="F88" s="91" t="s">
        <v>85</v>
      </c>
      <c r="G88" s="83"/>
      <c r="H88" s="83">
        <v>0</v>
      </c>
      <c r="I88" s="83">
        <v>0</v>
      </c>
      <c r="J88" s="83">
        <v>0</v>
      </c>
      <c r="K88" s="83">
        <v>0</v>
      </c>
      <c r="L88" s="83">
        <v>0</v>
      </c>
      <c r="M88" s="83">
        <f>VLOOKUP(F88,'Прайс Лазер'!$L$3:$M$9,2,0)</f>
        <v>94</v>
      </c>
      <c r="N88" s="83">
        <v>25</v>
      </c>
      <c r="O88" s="90">
        <f>VLOOKUP(E88,'Прайс Лазер'!$I$4:$J$21,2,0)</f>
        <v>1.1499999999999999</v>
      </c>
      <c r="P88" s="83">
        <f>HLOOKUP('Оценка лазера'!$E88,'Прайс Лазер'!$C$26:$T$34,1+VLOOKUP(F88,'Прайс Лазер'!$A$26:$B$34,2,0),0)</f>
        <v>21.849999999999998</v>
      </c>
      <c r="Q88" s="83">
        <f t="shared" si="13"/>
        <v>0</v>
      </c>
      <c r="R88" s="83">
        <f t="shared" si="14"/>
        <v>0</v>
      </c>
      <c r="S88" s="83">
        <f t="shared" si="15"/>
        <v>0</v>
      </c>
      <c r="T88" s="83">
        <f t="shared" si="17"/>
        <v>0</v>
      </c>
      <c r="U88" s="83">
        <f t="shared" si="16"/>
        <v>0</v>
      </c>
      <c r="V88" s="94">
        <f t="shared" si="18"/>
        <v>0</v>
      </c>
    </row>
    <row r="89" spans="1:22" ht="15">
      <c r="A89" s="93">
        <f t="shared" si="19"/>
        <v>87</v>
      </c>
      <c r="B89" s="83"/>
      <c r="C89" s="83"/>
      <c r="D89" s="83"/>
      <c r="E89" s="83">
        <v>1</v>
      </c>
      <c r="F89" s="91" t="s">
        <v>85</v>
      </c>
      <c r="G89" s="83"/>
      <c r="H89" s="83">
        <v>0</v>
      </c>
      <c r="I89" s="83">
        <v>0</v>
      </c>
      <c r="J89" s="83">
        <v>0</v>
      </c>
      <c r="K89" s="83">
        <v>0</v>
      </c>
      <c r="L89" s="83">
        <v>0</v>
      </c>
      <c r="M89" s="83">
        <f>VLOOKUP(F89,'Прайс Лазер'!$L$3:$M$9,2,0)</f>
        <v>94</v>
      </c>
      <c r="N89" s="83">
        <v>25</v>
      </c>
      <c r="O89" s="90">
        <f>VLOOKUP(E89,'Прайс Лазер'!$I$4:$J$21,2,0)</f>
        <v>1.1499999999999999</v>
      </c>
      <c r="P89" s="83">
        <f>HLOOKUP('Оценка лазера'!$E89,'Прайс Лазер'!$C$26:$T$34,1+VLOOKUP(F89,'Прайс Лазер'!$A$26:$B$34,2,0),0)</f>
        <v>21.849999999999998</v>
      </c>
      <c r="Q89" s="83">
        <f t="shared" si="13"/>
        <v>0</v>
      </c>
      <c r="R89" s="83">
        <f t="shared" si="14"/>
        <v>0</v>
      </c>
      <c r="S89" s="83">
        <f t="shared" si="15"/>
        <v>0</v>
      </c>
      <c r="T89" s="83">
        <f t="shared" si="17"/>
        <v>0</v>
      </c>
      <c r="U89" s="83">
        <f t="shared" si="16"/>
        <v>0</v>
      </c>
      <c r="V89" s="94">
        <f t="shared" si="18"/>
        <v>0</v>
      </c>
    </row>
    <row r="90" spans="1:22" ht="15">
      <c r="A90" s="93">
        <f t="shared" si="19"/>
        <v>88</v>
      </c>
      <c r="B90" s="83"/>
      <c r="C90" s="83"/>
      <c r="D90" s="83"/>
      <c r="E90" s="83">
        <v>1</v>
      </c>
      <c r="F90" s="91" t="s">
        <v>85</v>
      </c>
      <c r="G90" s="83"/>
      <c r="H90" s="83">
        <v>0</v>
      </c>
      <c r="I90" s="83">
        <v>0</v>
      </c>
      <c r="J90" s="83">
        <v>0</v>
      </c>
      <c r="K90" s="83">
        <v>0</v>
      </c>
      <c r="L90" s="83">
        <v>0</v>
      </c>
      <c r="M90" s="83">
        <f>VLOOKUP(F90,'Прайс Лазер'!$L$3:$M$9,2,0)</f>
        <v>94</v>
      </c>
      <c r="N90" s="83">
        <v>25</v>
      </c>
      <c r="O90" s="90">
        <f>VLOOKUP(E90,'Прайс Лазер'!$I$4:$J$21,2,0)</f>
        <v>1.1499999999999999</v>
      </c>
      <c r="P90" s="83">
        <f>HLOOKUP('Оценка лазера'!$E90,'Прайс Лазер'!$C$26:$T$34,1+VLOOKUP(F90,'Прайс Лазер'!$A$26:$B$34,2,0),0)</f>
        <v>21.849999999999998</v>
      </c>
      <c r="Q90" s="83">
        <f t="shared" si="13"/>
        <v>0</v>
      </c>
      <c r="R90" s="83">
        <f t="shared" si="14"/>
        <v>0</v>
      </c>
      <c r="S90" s="83">
        <f t="shared" si="15"/>
        <v>0</v>
      </c>
      <c r="T90" s="83">
        <f t="shared" si="17"/>
        <v>0</v>
      </c>
      <c r="U90" s="83">
        <f t="shared" si="16"/>
        <v>0</v>
      </c>
      <c r="V90" s="94">
        <f t="shared" si="18"/>
        <v>0</v>
      </c>
    </row>
    <row r="91" spans="1:22" ht="15">
      <c r="A91" s="93">
        <f t="shared" si="19"/>
        <v>89</v>
      </c>
      <c r="B91" s="83"/>
      <c r="C91" s="83"/>
      <c r="D91" s="83"/>
      <c r="E91" s="83">
        <v>1</v>
      </c>
      <c r="F91" s="91" t="s">
        <v>85</v>
      </c>
      <c r="G91" s="83"/>
      <c r="H91" s="83">
        <v>0</v>
      </c>
      <c r="I91" s="83">
        <v>0</v>
      </c>
      <c r="J91" s="83">
        <v>0</v>
      </c>
      <c r="K91" s="83">
        <v>0</v>
      </c>
      <c r="L91" s="83">
        <v>0</v>
      </c>
      <c r="M91" s="83">
        <f>VLOOKUP(F91,'Прайс Лазер'!$L$3:$M$9,2,0)</f>
        <v>94</v>
      </c>
      <c r="N91" s="83">
        <v>25</v>
      </c>
      <c r="O91" s="90">
        <f>VLOOKUP(E91,'Прайс Лазер'!$I$4:$J$21,2,0)</f>
        <v>1.1499999999999999</v>
      </c>
      <c r="P91" s="83">
        <f>HLOOKUP('Оценка лазера'!$E91,'Прайс Лазер'!$C$26:$T$34,1+VLOOKUP(F91,'Прайс Лазер'!$A$26:$B$34,2,0),0)</f>
        <v>21.849999999999998</v>
      </c>
      <c r="Q91" s="83">
        <f t="shared" si="13"/>
        <v>0</v>
      </c>
      <c r="R91" s="83">
        <f t="shared" si="14"/>
        <v>0</v>
      </c>
      <c r="S91" s="83">
        <f t="shared" si="15"/>
        <v>0</v>
      </c>
      <c r="T91" s="83">
        <f t="shared" si="17"/>
        <v>0</v>
      </c>
      <c r="U91" s="83">
        <f t="shared" si="16"/>
        <v>0</v>
      </c>
      <c r="V91" s="94">
        <f t="shared" si="18"/>
        <v>0</v>
      </c>
    </row>
    <row r="92" spans="1:22" ht="15">
      <c r="A92" s="93">
        <f t="shared" si="19"/>
        <v>90</v>
      </c>
      <c r="B92" s="83"/>
      <c r="C92" s="83"/>
      <c r="D92" s="83"/>
      <c r="E92" s="83">
        <v>1</v>
      </c>
      <c r="F92" s="91" t="s">
        <v>85</v>
      </c>
      <c r="G92" s="83"/>
      <c r="H92" s="83">
        <v>0</v>
      </c>
      <c r="I92" s="83">
        <v>0</v>
      </c>
      <c r="J92" s="83">
        <v>0</v>
      </c>
      <c r="K92" s="83">
        <v>0</v>
      </c>
      <c r="L92" s="83">
        <v>0</v>
      </c>
      <c r="M92" s="83">
        <f>VLOOKUP(F92,'Прайс Лазер'!$L$3:$M$9,2,0)</f>
        <v>94</v>
      </c>
      <c r="N92" s="83">
        <v>25</v>
      </c>
      <c r="O92" s="90">
        <f>VLOOKUP(E92,'Прайс Лазер'!$I$4:$J$21,2,0)</f>
        <v>1.1499999999999999</v>
      </c>
      <c r="P92" s="83">
        <f>HLOOKUP('Оценка лазера'!$E92,'Прайс Лазер'!$C$26:$T$34,1+VLOOKUP(F92,'Прайс Лазер'!$A$26:$B$34,2,0),0)</f>
        <v>21.849999999999998</v>
      </c>
      <c r="Q92" s="83">
        <f t="shared" si="13"/>
        <v>0</v>
      </c>
      <c r="R92" s="83">
        <f t="shared" si="14"/>
        <v>0</v>
      </c>
      <c r="S92" s="83">
        <f t="shared" si="15"/>
        <v>0</v>
      </c>
      <c r="T92" s="83">
        <f t="shared" si="17"/>
        <v>0</v>
      </c>
      <c r="U92" s="83">
        <f t="shared" si="16"/>
        <v>0</v>
      </c>
      <c r="V92" s="94">
        <f t="shared" si="18"/>
        <v>0</v>
      </c>
    </row>
    <row r="93" spans="1:22" ht="15">
      <c r="A93" s="93">
        <f t="shared" si="19"/>
        <v>91</v>
      </c>
      <c r="B93" s="83"/>
      <c r="C93" s="83"/>
      <c r="D93" s="83"/>
      <c r="E93" s="83">
        <v>1</v>
      </c>
      <c r="F93" s="91" t="s">
        <v>85</v>
      </c>
      <c r="G93" s="83"/>
      <c r="H93" s="83">
        <v>0</v>
      </c>
      <c r="I93" s="83">
        <v>0</v>
      </c>
      <c r="J93" s="83">
        <v>0</v>
      </c>
      <c r="K93" s="83">
        <v>0</v>
      </c>
      <c r="L93" s="83">
        <v>0</v>
      </c>
      <c r="M93" s="83">
        <f>VLOOKUP(F93,'Прайс Лазер'!$L$3:$M$9,2,0)</f>
        <v>94</v>
      </c>
      <c r="N93" s="83">
        <v>25</v>
      </c>
      <c r="O93" s="90">
        <f>VLOOKUP(E93,'Прайс Лазер'!$I$4:$J$21,2,0)</f>
        <v>1.1499999999999999</v>
      </c>
      <c r="P93" s="83">
        <f>HLOOKUP('Оценка лазера'!$E93,'Прайс Лазер'!$C$26:$T$34,1+VLOOKUP(F93,'Прайс Лазер'!$A$26:$B$34,2,0),0)</f>
        <v>21.849999999999998</v>
      </c>
      <c r="Q93" s="83">
        <f t="shared" si="13"/>
        <v>0</v>
      </c>
      <c r="R93" s="83">
        <f t="shared" si="14"/>
        <v>0</v>
      </c>
      <c r="S93" s="83">
        <f t="shared" si="15"/>
        <v>0</v>
      </c>
      <c r="T93" s="83">
        <f t="shared" si="17"/>
        <v>0</v>
      </c>
      <c r="U93" s="83">
        <f t="shared" si="16"/>
        <v>0</v>
      </c>
      <c r="V93" s="94">
        <f t="shared" si="18"/>
        <v>0</v>
      </c>
    </row>
    <row r="94" spans="1:22" ht="15">
      <c r="A94" s="93">
        <f t="shared" si="19"/>
        <v>92</v>
      </c>
      <c r="B94" s="83"/>
      <c r="C94" s="83"/>
      <c r="D94" s="83"/>
      <c r="E94" s="83">
        <v>1</v>
      </c>
      <c r="F94" s="91" t="s">
        <v>85</v>
      </c>
      <c r="G94" s="83"/>
      <c r="H94" s="83">
        <v>0</v>
      </c>
      <c r="I94" s="83">
        <v>0</v>
      </c>
      <c r="J94" s="83">
        <v>0</v>
      </c>
      <c r="K94" s="83">
        <v>0</v>
      </c>
      <c r="L94" s="83">
        <v>0</v>
      </c>
      <c r="M94" s="83">
        <f>VLOOKUP(F94,'Прайс Лазер'!$L$3:$M$9,2,0)</f>
        <v>94</v>
      </c>
      <c r="N94" s="83">
        <v>25</v>
      </c>
      <c r="O94" s="90">
        <f>VLOOKUP(E94,'Прайс Лазер'!$I$4:$J$21,2,0)</f>
        <v>1.1499999999999999</v>
      </c>
      <c r="P94" s="83">
        <f>HLOOKUP('Оценка лазера'!$E94,'Прайс Лазер'!$C$26:$T$34,1+VLOOKUP(F94,'Прайс Лазер'!$A$26:$B$34,2,0),0)</f>
        <v>21.849999999999998</v>
      </c>
      <c r="Q94" s="83">
        <f t="shared" si="13"/>
        <v>0</v>
      </c>
      <c r="R94" s="83">
        <f t="shared" si="14"/>
        <v>0</v>
      </c>
      <c r="S94" s="83">
        <f t="shared" si="15"/>
        <v>0</v>
      </c>
      <c r="T94" s="83">
        <f t="shared" si="17"/>
        <v>0</v>
      </c>
      <c r="U94" s="83">
        <f t="shared" si="16"/>
        <v>0</v>
      </c>
      <c r="V94" s="94">
        <f t="shared" si="18"/>
        <v>0</v>
      </c>
    </row>
    <row r="95" spans="1:22" ht="15">
      <c r="A95" s="93">
        <f t="shared" si="19"/>
        <v>93</v>
      </c>
      <c r="B95" s="83"/>
      <c r="C95" s="83"/>
      <c r="D95" s="83"/>
      <c r="E95" s="83">
        <v>1</v>
      </c>
      <c r="F95" s="91" t="s">
        <v>85</v>
      </c>
      <c r="G95" s="83"/>
      <c r="H95" s="83">
        <v>0</v>
      </c>
      <c r="I95" s="83">
        <v>0</v>
      </c>
      <c r="J95" s="83">
        <v>0</v>
      </c>
      <c r="K95" s="83">
        <v>0</v>
      </c>
      <c r="L95" s="83">
        <v>0</v>
      </c>
      <c r="M95" s="83">
        <f>VLOOKUP(F95,'Прайс Лазер'!$L$3:$M$9,2,0)</f>
        <v>94</v>
      </c>
      <c r="N95" s="83">
        <v>25</v>
      </c>
      <c r="O95" s="90">
        <f>VLOOKUP(E95,'Прайс Лазер'!$I$4:$J$21,2,0)</f>
        <v>1.1499999999999999</v>
      </c>
      <c r="P95" s="83">
        <f>HLOOKUP('Оценка лазера'!$E95,'Прайс Лазер'!$C$26:$T$34,1+VLOOKUP(F95,'Прайс Лазер'!$A$26:$B$34,2,0),0)</f>
        <v>21.849999999999998</v>
      </c>
      <c r="Q95" s="83">
        <f t="shared" si="13"/>
        <v>0</v>
      </c>
      <c r="R95" s="83">
        <f t="shared" si="14"/>
        <v>0</v>
      </c>
      <c r="S95" s="83">
        <f t="shared" si="15"/>
        <v>0</v>
      </c>
      <c r="T95" s="83">
        <f t="shared" si="17"/>
        <v>0</v>
      </c>
      <c r="U95" s="83">
        <f t="shared" si="16"/>
        <v>0</v>
      </c>
      <c r="V95" s="94">
        <f t="shared" si="18"/>
        <v>0</v>
      </c>
    </row>
    <row r="96" spans="1:22" ht="15">
      <c r="A96" s="93">
        <f t="shared" si="19"/>
        <v>94</v>
      </c>
      <c r="B96" s="83"/>
      <c r="C96" s="83"/>
      <c r="D96" s="83"/>
      <c r="E96" s="83">
        <v>1</v>
      </c>
      <c r="F96" s="91" t="s">
        <v>85</v>
      </c>
      <c r="G96" s="83"/>
      <c r="H96" s="83">
        <v>0</v>
      </c>
      <c r="I96" s="83">
        <v>0</v>
      </c>
      <c r="J96" s="83">
        <v>0</v>
      </c>
      <c r="K96" s="83">
        <v>0</v>
      </c>
      <c r="L96" s="83">
        <v>0</v>
      </c>
      <c r="M96" s="83">
        <f>VLOOKUP(F96,'Прайс Лазер'!$L$3:$M$9,2,0)</f>
        <v>94</v>
      </c>
      <c r="N96" s="83">
        <v>25</v>
      </c>
      <c r="O96" s="90">
        <f>VLOOKUP(E96,'Прайс Лазер'!$I$4:$J$21,2,0)</f>
        <v>1.1499999999999999</v>
      </c>
      <c r="P96" s="83">
        <f>HLOOKUP('Оценка лазера'!$E96,'Прайс Лазер'!$C$26:$T$34,1+VLOOKUP(F96,'Прайс Лазер'!$A$26:$B$34,2,0),0)</f>
        <v>21.849999999999998</v>
      </c>
      <c r="Q96" s="83">
        <f t="shared" si="13"/>
        <v>0</v>
      </c>
      <c r="R96" s="83">
        <f t="shared" si="14"/>
        <v>0</v>
      </c>
      <c r="S96" s="83">
        <f t="shared" si="15"/>
        <v>0</v>
      </c>
      <c r="T96" s="83">
        <f t="shared" si="17"/>
        <v>0</v>
      </c>
      <c r="U96" s="83">
        <f t="shared" si="16"/>
        <v>0</v>
      </c>
      <c r="V96" s="94">
        <f t="shared" si="18"/>
        <v>0</v>
      </c>
    </row>
    <row r="97" spans="1:22" ht="15">
      <c r="A97" s="93">
        <f t="shared" si="19"/>
        <v>95</v>
      </c>
      <c r="B97" s="83"/>
      <c r="C97" s="83"/>
      <c r="D97" s="83"/>
      <c r="E97" s="83">
        <v>1</v>
      </c>
      <c r="F97" s="91" t="s">
        <v>85</v>
      </c>
      <c r="G97" s="83"/>
      <c r="H97" s="83">
        <v>0</v>
      </c>
      <c r="I97" s="83">
        <v>0</v>
      </c>
      <c r="J97" s="83">
        <v>0</v>
      </c>
      <c r="K97" s="83">
        <v>0</v>
      </c>
      <c r="L97" s="83">
        <v>0</v>
      </c>
      <c r="M97" s="83">
        <f>VLOOKUP(F97,'Прайс Лазер'!$L$3:$M$9,2,0)</f>
        <v>94</v>
      </c>
      <c r="N97" s="83">
        <v>25</v>
      </c>
      <c r="O97" s="90">
        <f>VLOOKUP(E97,'Прайс Лазер'!$I$4:$J$21,2,0)</f>
        <v>1.1499999999999999</v>
      </c>
      <c r="P97" s="83">
        <f>HLOOKUP('Оценка лазера'!$E97,'Прайс Лазер'!$C$26:$T$34,1+VLOOKUP(F97,'Прайс Лазер'!$A$26:$B$34,2,0),0)</f>
        <v>21.849999999999998</v>
      </c>
      <c r="Q97" s="83">
        <f t="shared" si="13"/>
        <v>0</v>
      </c>
      <c r="R97" s="83">
        <f t="shared" si="14"/>
        <v>0</v>
      </c>
      <c r="S97" s="83">
        <f t="shared" si="15"/>
        <v>0</v>
      </c>
      <c r="T97" s="83">
        <f t="shared" si="17"/>
        <v>0</v>
      </c>
      <c r="U97" s="83">
        <f t="shared" si="16"/>
        <v>0</v>
      </c>
      <c r="V97" s="94">
        <f t="shared" si="18"/>
        <v>0</v>
      </c>
    </row>
    <row r="98" spans="1:22" ht="15">
      <c r="A98" s="93">
        <f t="shared" si="19"/>
        <v>96</v>
      </c>
      <c r="B98" s="83"/>
      <c r="C98" s="83"/>
      <c r="D98" s="83"/>
      <c r="E98" s="83">
        <v>1</v>
      </c>
      <c r="F98" s="91" t="s">
        <v>85</v>
      </c>
      <c r="G98" s="83"/>
      <c r="H98" s="83">
        <v>0</v>
      </c>
      <c r="I98" s="83">
        <v>0</v>
      </c>
      <c r="J98" s="83">
        <v>0</v>
      </c>
      <c r="K98" s="83">
        <v>0</v>
      </c>
      <c r="L98" s="83">
        <v>0</v>
      </c>
      <c r="M98" s="83">
        <f>VLOOKUP(F98,'Прайс Лазер'!$L$3:$M$9,2,0)</f>
        <v>94</v>
      </c>
      <c r="N98" s="83">
        <v>25</v>
      </c>
      <c r="O98" s="90">
        <f>VLOOKUP(E98,'Прайс Лазер'!$I$4:$J$21,2,0)</f>
        <v>1.1499999999999999</v>
      </c>
      <c r="P98" s="83">
        <f>HLOOKUP('Оценка лазера'!$E98,'Прайс Лазер'!$C$26:$T$34,1+VLOOKUP(F98,'Прайс Лазер'!$A$26:$B$34,2,0),0)</f>
        <v>21.849999999999998</v>
      </c>
      <c r="Q98" s="83">
        <f t="shared" si="13"/>
        <v>0</v>
      </c>
      <c r="R98" s="83">
        <f t="shared" si="14"/>
        <v>0</v>
      </c>
      <c r="S98" s="83">
        <f t="shared" si="15"/>
        <v>0</v>
      </c>
      <c r="T98" s="83">
        <f t="shared" si="17"/>
        <v>0</v>
      </c>
      <c r="U98" s="83">
        <f t="shared" si="16"/>
        <v>0</v>
      </c>
      <c r="V98" s="94">
        <f t="shared" si="18"/>
        <v>0</v>
      </c>
    </row>
    <row r="99" spans="1:22" ht="15">
      <c r="A99" s="93">
        <f t="shared" si="19"/>
        <v>97</v>
      </c>
      <c r="B99" s="83"/>
      <c r="C99" s="83"/>
      <c r="D99" s="83"/>
      <c r="E99" s="83">
        <v>1</v>
      </c>
      <c r="F99" s="91" t="s">
        <v>85</v>
      </c>
      <c r="G99" s="83"/>
      <c r="H99" s="83">
        <v>0</v>
      </c>
      <c r="I99" s="83">
        <v>0</v>
      </c>
      <c r="J99" s="83">
        <v>0</v>
      </c>
      <c r="K99" s="83">
        <v>0</v>
      </c>
      <c r="L99" s="83">
        <v>0</v>
      </c>
      <c r="M99" s="83">
        <f>VLOOKUP(F99,'Прайс Лазер'!$L$3:$M$9,2,0)</f>
        <v>94</v>
      </c>
      <c r="N99" s="83">
        <v>25</v>
      </c>
      <c r="O99" s="90">
        <f>VLOOKUP(E99,'Прайс Лазер'!$I$4:$J$21,2,0)</f>
        <v>1.1499999999999999</v>
      </c>
      <c r="P99" s="83">
        <f>HLOOKUP('Оценка лазера'!$E99,'Прайс Лазер'!$C$26:$T$34,1+VLOOKUP(F99,'Прайс Лазер'!$A$26:$B$34,2,0),0)</f>
        <v>21.849999999999998</v>
      </c>
      <c r="Q99" s="83">
        <f t="shared" si="13"/>
        <v>0</v>
      </c>
      <c r="R99" s="83">
        <f t="shared" si="14"/>
        <v>0</v>
      </c>
      <c r="S99" s="83">
        <f t="shared" si="15"/>
        <v>0</v>
      </c>
      <c r="T99" s="83">
        <f t="shared" si="17"/>
        <v>0</v>
      </c>
      <c r="U99" s="83">
        <f t="shared" si="16"/>
        <v>0</v>
      </c>
      <c r="V99" s="94">
        <f t="shared" si="18"/>
        <v>0</v>
      </c>
    </row>
    <row r="100" spans="1:22" ht="15">
      <c r="A100" s="93">
        <f t="shared" si="19"/>
        <v>98</v>
      </c>
      <c r="B100" s="83"/>
      <c r="C100" s="83"/>
      <c r="D100" s="83"/>
      <c r="E100" s="83">
        <v>1</v>
      </c>
      <c r="F100" s="91" t="s">
        <v>85</v>
      </c>
      <c r="G100" s="83"/>
      <c r="H100" s="83">
        <v>0</v>
      </c>
      <c r="I100" s="83">
        <v>0</v>
      </c>
      <c r="J100" s="83">
        <v>0</v>
      </c>
      <c r="K100" s="83">
        <v>0</v>
      </c>
      <c r="L100" s="83">
        <v>0</v>
      </c>
      <c r="M100" s="83">
        <f>VLOOKUP(F100,'Прайс Лазер'!$L$3:$M$9,2,0)</f>
        <v>94</v>
      </c>
      <c r="N100" s="83">
        <v>25</v>
      </c>
      <c r="O100" s="90">
        <f>VLOOKUP(E100,'Прайс Лазер'!$I$4:$J$21,2,0)</f>
        <v>1.1499999999999999</v>
      </c>
      <c r="P100" s="83">
        <f>HLOOKUP('Оценка лазера'!$E100,'Прайс Лазер'!$C$26:$T$34,1+VLOOKUP(F100,'Прайс Лазер'!$A$26:$B$34,2,0),0)</f>
        <v>21.849999999999998</v>
      </c>
      <c r="Q100" s="83">
        <f t="shared" si="13"/>
        <v>0</v>
      </c>
      <c r="R100" s="83">
        <f t="shared" si="14"/>
        <v>0</v>
      </c>
      <c r="S100" s="83">
        <f t="shared" si="15"/>
        <v>0</v>
      </c>
      <c r="T100" s="83">
        <f t="shared" si="17"/>
        <v>0</v>
      </c>
      <c r="U100" s="83">
        <f t="shared" si="16"/>
        <v>0</v>
      </c>
      <c r="V100" s="94">
        <f t="shared" si="18"/>
        <v>0</v>
      </c>
    </row>
    <row r="101" spans="1:22" ht="15">
      <c r="A101" s="93">
        <f t="shared" si="19"/>
        <v>99</v>
      </c>
      <c r="B101" s="83"/>
      <c r="C101" s="83"/>
      <c r="D101" s="83"/>
      <c r="E101" s="83">
        <v>1</v>
      </c>
      <c r="F101" s="91" t="s">
        <v>85</v>
      </c>
      <c r="G101" s="83"/>
      <c r="H101" s="83">
        <v>0</v>
      </c>
      <c r="I101" s="83">
        <v>0</v>
      </c>
      <c r="J101" s="83">
        <v>0</v>
      </c>
      <c r="K101" s="83">
        <v>0</v>
      </c>
      <c r="L101" s="83">
        <v>0</v>
      </c>
      <c r="M101" s="83">
        <f>VLOOKUP(F101,'Прайс Лазер'!$L$3:$M$9,2,0)</f>
        <v>94</v>
      </c>
      <c r="N101" s="83">
        <v>25</v>
      </c>
      <c r="O101" s="90">
        <f>VLOOKUP(E101,'Прайс Лазер'!$I$4:$J$21,2,0)</f>
        <v>1.1499999999999999</v>
      </c>
      <c r="P101" s="83">
        <f>HLOOKUP('Оценка лазера'!$E101,'Прайс Лазер'!$C$26:$T$34,1+VLOOKUP(F101,'Прайс Лазер'!$A$26:$B$34,2,0),0)</f>
        <v>21.849999999999998</v>
      </c>
      <c r="Q101" s="83">
        <f t="shared" si="13"/>
        <v>0</v>
      </c>
      <c r="R101" s="83">
        <f t="shared" si="14"/>
        <v>0</v>
      </c>
      <c r="S101" s="83">
        <f t="shared" si="15"/>
        <v>0</v>
      </c>
      <c r="T101" s="83">
        <f t="shared" si="17"/>
        <v>0</v>
      </c>
      <c r="U101" s="83">
        <f t="shared" si="16"/>
        <v>0</v>
      </c>
      <c r="V101" s="94">
        <f t="shared" si="18"/>
        <v>0</v>
      </c>
    </row>
    <row r="102" spans="1:22" ht="15">
      <c r="A102" s="93">
        <f t="shared" si="19"/>
        <v>100</v>
      </c>
      <c r="B102" s="83"/>
      <c r="C102" s="83"/>
      <c r="D102" s="83"/>
      <c r="E102" s="83">
        <v>1</v>
      </c>
      <c r="F102" s="91" t="s">
        <v>85</v>
      </c>
      <c r="G102" s="83"/>
      <c r="H102" s="83">
        <v>0</v>
      </c>
      <c r="I102" s="83">
        <v>0</v>
      </c>
      <c r="J102" s="83">
        <v>0</v>
      </c>
      <c r="K102" s="83">
        <v>0</v>
      </c>
      <c r="L102" s="83">
        <v>0</v>
      </c>
      <c r="M102" s="83">
        <f>VLOOKUP(F102,'Прайс Лазер'!$L$3:$M$9,2,0)</f>
        <v>94</v>
      </c>
      <c r="N102" s="83">
        <v>25</v>
      </c>
      <c r="O102" s="90">
        <f>VLOOKUP(E102,'Прайс Лазер'!$I$4:$J$21,2,0)</f>
        <v>1.1499999999999999</v>
      </c>
      <c r="P102" s="83">
        <f>HLOOKUP('Оценка лазера'!$E102,'Прайс Лазер'!$C$26:$T$34,1+VLOOKUP(F102,'Прайс Лазер'!$A$26:$B$34,2,0),0)</f>
        <v>21.849999999999998</v>
      </c>
      <c r="Q102" s="83">
        <f t="shared" si="13"/>
        <v>0</v>
      </c>
      <c r="R102" s="83">
        <f t="shared" si="14"/>
        <v>0</v>
      </c>
      <c r="S102" s="83">
        <f t="shared" si="15"/>
        <v>0</v>
      </c>
      <c r="T102" s="83">
        <f t="shared" si="17"/>
        <v>0</v>
      </c>
      <c r="U102" s="83">
        <f t="shared" si="16"/>
        <v>0</v>
      </c>
      <c r="V102" s="94">
        <f t="shared" si="18"/>
        <v>0</v>
      </c>
    </row>
    <row r="103" spans="1:22" ht="15">
      <c r="A103" s="93">
        <f t="shared" si="19"/>
        <v>101</v>
      </c>
      <c r="B103" s="83"/>
      <c r="C103" s="83"/>
      <c r="D103" s="83"/>
      <c r="E103" s="83">
        <v>1</v>
      </c>
      <c r="F103" s="91" t="s">
        <v>85</v>
      </c>
      <c r="G103" s="83"/>
      <c r="H103" s="83">
        <v>0</v>
      </c>
      <c r="I103" s="83">
        <v>0</v>
      </c>
      <c r="J103" s="83">
        <v>0</v>
      </c>
      <c r="K103" s="83">
        <v>0</v>
      </c>
      <c r="L103" s="83">
        <v>0</v>
      </c>
      <c r="M103" s="83">
        <f>VLOOKUP(F103,'Прайс Лазер'!$L$3:$M$9,2,0)</f>
        <v>94</v>
      </c>
      <c r="N103" s="83">
        <v>25</v>
      </c>
      <c r="O103" s="90">
        <f>VLOOKUP(E103,'Прайс Лазер'!$I$4:$J$21,2,0)</f>
        <v>1.1499999999999999</v>
      </c>
      <c r="P103" s="83">
        <f>HLOOKUP('Оценка лазера'!$E103,'Прайс Лазер'!$C$26:$T$34,1+VLOOKUP(F103,'Прайс Лазер'!$A$26:$B$34,2,0),0)</f>
        <v>21.849999999999998</v>
      </c>
      <c r="Q103" s="83">
        <f t="shared" si="13"/>
        <v>0</v>
      </c>
      <c r="R103" s="83">
        <f t="shared" si="14"/>
        <v>0</v>
      </c>
      <c r="S103" s="83">
        <f t="shared" si="15"/>
        <v>0</v>
      </c>
      <c r="T103" s="83">
        <f t="shared" si="17"/>
        <v>0</v>
      </c>
      <c r="U103" s="83">
        <f t="shared" si="16"/>
        <v>0</v>
      </c>
      <c r="V103" s="94">
        <f t="shared" si="18"/>
        <v>0</v>
      </c>
    </row>
    <row r="104" spans="1:22" ht="15">
      <c r="A104" s="93">
        <f t="shared" si="19"/>
        <v>102</v>
      </c>
      <c r="B104" s="83"/>
      <c r="C104" s="83"/>
      <c r="D104" s="83"/>
      <c r="E104" s="83">
        <v>1</v>
      </c>
      <c r="F104" s="91" t="s">
        <v>85</v>
      </c>
      <c r="G104" s="83"/>
      <c r="H104" s="83">
        <v>0</v>
      </c>
      <c r="I104" s="83">
        <v>0</v>
      </c>
      <c r="J104" s="83">
        <v>0</v>
      </c>
      <c r="K104" s="83">
        <v>0</v>
      </c>
      <c r="L104" s="83">
        <v>0</v>
      </c>
      <c r="M104" s="83">
        <f>VLOOKUP(F104,'Прайс Лазер'!$L$3:$M$9,2,0)</f>
        <v>94</v>
      </c>
      <c r="N104" s="83">
        <v>25</v>
      </c>
      <c r="O104" s="90">
        <f>VLOOKUP(E104,'Прайс Лазер'!$I$4:$J$21,2,0)</f>
        <v>1.1499999999999999</v>
      </c>
      <c r="P104" s="83">
        <f>HLOOKUP('Оценка лазера'!$E104,'Прайс Лазер'!$C$26:$T$34,1+VLOOKUP(F104,'Прайс Лазер'!$A$26:$B$34,2,0),0)</f>
        <v>21.849999999999998</v>
      </c>
      <c r="Q104" s="83">
        <f t="shared" si="13"/>
        <v>0</v>
      </c>
      <c r="R104" s="83">
        <f t="shared" si="14"/>
        <v>0</v>
      </c>
      <c r="S104" s="83">
        <f t="shared" si="15"/>
        <v>0</v>
      </c>
      <c r="T104" s="83">
        <f t="shared" si="17"/>
        <v>0</v>
      </c>
      <c r="U104" s="83">
        <f t="shared" si="16"/>
        <v>0</v>
      </c>
      <c r="V104" s="94">
        <f t="shared" si="18"/>
        <v>0</v>
      </c>
    </row>
    <row r="105" spans="1:22" ht="15">
      <c r="A105" s="93">
        <f t="shared" si="19"/>
        <v>103</v>
      </c>
      <c r="B105" s="83"/>
      <c r="C105" s="83"/>
      <c r="D105" s="83"/>
      <c r="E105" s="83">
        <v>1</v>
      </c>
      <c r="F105" s="91" t="s">
        <v>85</v>
      </c>
      <c r="G105" s="83"/>
      <c r="H105" s="83">
        <v>0</v>
      </c>
      <c r="I105" s="83">
        <v>0</v>
      </c>
      <c r="J105" s="83">
        <v>0</v>
      </c>
      <c r="K105" s="83">
        <v>0</v>
      </c>
      <c r="L105" s="83">
        <v>0</v>
      </c>
      <c r="M105" s="83">
        <f>VLOOKUP(F105,'Прайс Лазер'!$L$3:$M$9,2,0)</f>
        <v>94</v>
      </c>
      <c r="N105" s="83">
        <v>25</v>
      </c>
      <c r="O105" s="90">
        <f>VLOOKUP(E105,'Прайс Лазер'!$I$4:$J$21,2,0)</f>
        <v>1.1499999999999999</v>
      </c>
      <c r="P105" s="83">
        <f>HLOOKUP('Оценка лазера'!$E105,'Прайс Лазер'!$C$26:$T$34,1+VLOOKUP(F105,'Прайс Лазер'!$A$26:$B$34,2,0),0)</f>
        <v>21.849999999999998</v>
      </c>
      <c r="Q105" s="83">
        <f t="shared" si="13"/>
        <v>0</v>
      </c>
      <c r="R105" s="83">
        <f t="shared" si="14"/>
        <v>0</v>
      </c>
      <c r="S105" s="83">
        <f t="shared" si="15"/>
        <v>0</v>
      </c>
      <c r="T105" s="83">
        <f t="shared" si="17"/>
        <v>0</v>
      </c>
      <c r="U105" s="83">
        <f t="shared" si="16"/>
        <v>0</v>
      </c>
      <c r="V105" s="94">
        <f t="shared" si="18"/>
        <v>0</v>
      </c>
    </row>
    <row r="106" spans="1:22" ht="15">
      <c r="A106" s="93">
        <f t="shared" si="19"/>
        <v>104</v>
      </c>
      <c r="B106" s="83"/>
      <c r="C106" s="83"/>
      <c r="D106" s="83"/>
      <c r="E106" s="83">
        <v>1</v>
      </c>
      <c r="F106" s="91" t="s">
        <v>85</v>
      </c>
      <c r="G106" s="83"/>
      <c r="H106" s="83">
        <v>0</v>
      </c>
      <c r="I106" s="83">
        <v>0</v>
      </c>
      <c r="J106" s="83">
        <v>0</v>
      </c>
      <c r="K106" s="83">
        <v>0</v>
      </c>
      <c r="L106" s="83">
        <v>0</v>
      </c>
      <c r="M106" s="83">
        <f>VLOOKUP(F106,'Прайс Лазер'!$L$3:$M$9,2,0)</f>
        <v>94</v>
      </c>
      <c r="N106" s="83">
        <v>25</v>
      </c>
      <c r="O106" s="90">
        <f>VLOOKUP(E106,'Прайс Лазер'!$I$4:$J$21,2,0)</f>
        <v>1.1499999999999999</v>
      </c>
      <c r="P106" s="83">
        <f>HLOOKUP('Оценка лазера'!$E106,'Прайс Лазер'!$C$26:$T$34,1+VLOOKUP(F106,'Прайс Лазер'!$A$26:$B$34,2,0),0)</f>
        <v>21.849999999999998</v>
      </c>
      <c r="Q106" s="83">
        <f t="shared" si="13"/>
        <v>0</v>
      </c>
      <c r="R106" s="83">
        <f t="shared" si="14"/>
        <v>0</v>
      </c>
      <c r="S106" s="83">
        <f t="shared" si="15"/>
        <v>0</v>
      </c>
      <c r="T106" s="83">
        <f t="shared" si="17"/>
        <v>0</v>
      </c>
      <c r="U106" s="83">
        <f t="shared" si="16"/>
        <v>0</v>
      </c>
      <c r="V106" s="94">
        <f t="shared" si="18"/>
        <v>0</v>
      </c>
    </row>
    <row r="107" spans="1:22" ht="15">
      <c r="A107" s="93">
        <f t="shared" si="19"/>
        <v>105</v>
      </c>
      <c r="B107" s="83"/>
      <c r="C107" s="83"/>
      <c r="D107" s="83"/>
      <c r="E107" s="83">
        <v>1</v>
      </c>
      <c r="F107" s="91" t="s">
        <v>85</v>
      </c>
      <c r="G107" s="83"/>
      <c r="H107" s="83">
        <v>0</v>
      </c>
      <c r="I107" s="83">
        <v>0</v>
      </c>
      <c r="J107" s="83">
        <v>0</v>
      </c>
      <c r="K107" s="83">
        <v>0</v>
      </c>
      <c r="L107" s="83">
        <v>0</v>
      </c>
      <c r="M107" s="83">
        <f>VLOOKUP(F107,'Прайс Лазер'!$L$3:$M$9,2,0)</f>
        <v>94</v>
      </c>
      <c r="N107" s="83">
        <v>25</v>
      </c>
      <c r="O107" s="90">
        <f>VLOOKUP(E107,'Прайс Лазер'!$I$4:$J$21,2,0)</f>
        <v>1.1499999999999999</v>
      </c>
      <c r="P107" s="83">
        <f>HLOOKUP('Оценка лазера'!$E107,'Прайс Лазер'!$C$26:$T$34,1+VLOOKUP(F107,'Прайс Лазер'!$A$26:$B$34,2,0),0)</f>
        <v>21.849999999999998</v>
      </c>
      <c r="Q107" s="83">
        <f t="shared" si="13"/>
        <v>0</v>
      </c>
      <c r="R107" s="83">
        <f t="shared" si="14"/>
        <v>0</v>
      </c>
      <c r="S107" s="83">
        <f t="shared" si="15"/>
        <v>0</v>
      </c>
      <c r="T107" s="83">
        <f t="shared" si="17"/>
        <v>0</v>
      </c>
      <c r="U107" s="83">
        <f t="shared" si="16"/>
        <v>0</v>
      </c>
      <c r="V107" s="94">
        <f t="shared" si="18"/>
        <v>0</v>
      </c>
    </row>
    <row r="108" spans="1:22" ht="15">
      <c r="A108" s="93">
        <f t="shared" si="19"/>
        <v>106</v>
      </c>
      <c r="B108" s="83"/>
      <c r="C108" s="83"/>
      <c r="D108" s="83"/>
      <c r="E108" s="83">
        <v>1</v>
      </c>
      <c r="F108" s="91" t="s">
        <v>85</v>
      </c>
      <c r="G108" s="83"/>
      <c r="H108" s="83">
        <v>0</v>
      </c>
      <c r="I108" s="83">
        <v>0</v>
      </c>
      <c r="J108" s="83">
        <v>0</v>
      </c>
      <c r="K108" s="83">
        <v>0</v>
      </c>
      <c r="L108" s="83">
        <v>0</v>
      </c>
      <c r="M108" s="83">
        <f>VLOOKUP(F108,'Прайс Лазер'!$L$3:$M$9,2,0)</f>
        <v>94</v>
      </c>
      <c r="N108" s="83">
        <v>25</v>
      </c>
      <c r="O108" s="90">
        <f>VLOOKUP(E108,'Прайс Лазер'!$I$4:$J$21,2,0)</f>
        <v>1.1499999999999999</v>
      </c>
      <c r="P108" s="83">
        <f>HLOOKUP('Оценка лазера'!$E108,'Прайс Лазер'!$C$26:$T$34,1+VLOOKUP(F108,'Прайс Лазер'!$A$26:$B$34,2,0),0)</f>
        <v>21.849999999999998</v>
      </c>
      <c r="Q108" s="83">
        <f t="shared" si="13"/>
        <v>0</v>
      </c>
      <c r="R108" s="83">
        <f t="shared" si="14"/>
        <v>0</v>
      </c>
      <c r="S108" s="83">
        <f t="shared" si="15"/>
        <v>0</v>
      </c>
      <c r="T108" s="83">
        <f t="shared" si="17"/>
        <v>0</v>
      </c>
      <c r="U108" s="83">
        <f t="shared" si="16"/>
        <v>0</v>
      </c>
      <c r="V108" s="94">
        <f t="shared" si="18"/>
        <v>0</v>
      </c>
    </row>
    <row r="109" spans="1:22" ht="15">
      <c r="A109" s="93">
        <f t="shared" si="19"/>
        <v>107</v>
      </c>
      <c r="B109" s="83"/>
      <c r="C109" s="83"/>
      <c r="D109" s="83"/>
      <c r="E109" s="83">
        <v>1</v>
      </c>
      <c r="F109" s="91" t="s">
        <v>85</v>
      </c>
      <c r="G109" s="83"/>
      <c r="H109" s="83">
        <v>0</v>
      </c>
      <c r="I109" s="83">
        <v>0</v>
      </c>
      <c r="J109" s="83">
        <v>0</v>
      </c>
      <c r="K109" s="83">
        <v>0</v>
      </c>
      <c r="L109" s="83">
        <v>0</v>
      </c>
      <c r="M109" s="83">
        <f>VLOOKUP(F109,'Прайс Лазер'!$L$3:$M$9,2,0)</f>
        <v>94</v>
      </c>
      <c r="N109" s="83">
        <v>25</v>
      </c>
      <c r="O109" s="90">
        <f>VLOOKUP(E109,'Прайс Лазер'!$I$4:$J$21,2,0)</f>
        <v>1.1499999999999999</v>
      </c>
      <c r="P109" s="83">
        <f>HLOOKUP('Оценка лазера'!$E109,'Прайс Лазер'!$C$26:$T$34,1+VLOOKUP(F109,'Прайс Лазер'!$A$26:$B$34,2,0),0)</f>
        <v>21.849999999999998</v>
      </c>
      <c r="Q109" s="83">
        <f t="shared" si="13"/>
        <v>0</v>
      </c>
      <c r="R109" s="83">
        <f t="shared" si="14"/>
        <v>0</v>
      </c>
      <c r="S109" s="83">
        <f t="shared" si="15"/>
        <v>0</v>
      </c>
      <c r="T109" s="83">
        <f t="shared" si="17"/>
        <v>0</v>
      </c>
      <c r="U109" s="83">
        <f t="shared" si="16"/>
        <v>0</v>
      </c>
      <c r="V109" s="94">
        <f t="shared" si="18"/>
        <v>0</v>
      </c>
    </row>
    <row r="110" spans="1:22" ht="15">
      <c r="A110" s="93">
        <f t="shared" si="19"/>
        <v>108</v>
      </c>
      <c r="B110" s="83"/>
      <c r="C110" s="83"/>
      <c r="D110" s="83"/>
      <c r="E110" s="83">
        <v>1</v>
      </c>
      <c r="F110" s="91" t="s">
        <v>85</v>
      </c>
      <c r="G110" s="83"/>
      <c r="H110" s="83">
        <v>0</v>
      </c>
      <c r="I110" s="83">
        <v>0</v>
      </c>
      <c r="J110" s="83">
        <v>0</v>
      </c>
      <c r="K110" s="83">
        <v>0</v>
      </c>
      <c r="L110" s="83">
        <v>0</v>
      </c>
      <c r="M110" s="83">
        <f>VLOOKUP(F110,'Прайс Лазер'!$L$3:$M$9,2,0)</f>
        <v>94</v>
      </c>
      <c r="N110" s="83">
        <v>25</v>
      </c>
      <c r="O110" s="90">
        <f>VLOOKUP(E110,'Прайс Лазер'!$I$4:$J$21,2,0)</f>
        <v>1.1499999999999999</v>
      </c>
      <c r="P110" s="83">
        <f>HLOOKUP('Оценка лазера'!$E110,'Прайс Лазер'!$C$26:$T$34,1+VLOOKUP(F110,'Прайс Лазер'!$A$26:$B$34,2,0),0)</f>
        <v>21.849999999999998</v>
      </c>
      <c r="Q110" s="83">
        <f t="shared" si="13"/>
        <v>0</v>
      </c>
      <c r="R110" s="83">
        <f t="shared" si="14"/>
        <v>0</v>
      </c>
      <c r="S110" s="83">
        <f t="shared" si="15"/>
        <v>0</v>
      </c>
      <c r="T110" s="83">
        <f t="shared" si="17"/>
        <v>0</v>
      </c>
      <c r="U110" s="83">
        <f t="shared" si="16"/>
        <v>0</v>
      </c>
      <c r="V110" s="94">
        <f t="shared" si="18"/>
        <v>0</v>
      </c>
    </row>
    <row r="111" spans="1:22" ht="15">
      <c r="A111" s="93">
        <f t="shared" si="19"/>
        <v>109</v>
      </c>
      <c r="B111" s="83"/>
      <c r="C111" s="83"/>
      <c r="D111" s="83"/>
      <c r="E111" s="83">
        <v>1</v>
      </c>
      <c r="F111" s="91" t="s">
        <v>85</v>
      </c>
      <c r="G111" s="83"/>
      <c r="H111" s="83">
        <v>0</v>
      </c>
      <c r="I111" s="83">
        <v>0</v>
      </c>
      <c r="J111" s="83">
        <v>0</v>
      </c>
      <c r="K111" s="83">
        <v>0</v>
      </c>
      <c r="L111" s="83">
        <v>0</v>
      </c>
      <c r="M111" s="83">
        <f>VLOOKUP(F111,'Прайс Лазер'!$L$3:$M$9,2,0)</f>
        <v>94</v>
      </c>
      <c r="N111" s="83">
        <v>25</v>
      </c>
      <c r="O111" s="90">
        <f>VLOOKUP(E111,'Прайс Лазер'!$I$4:$J$21,2,0)</f>
        <v>1.1499999999999999</v>
      </c>
      <c r="P111" s="83">
        <f>HLOOKUP('Оценка лазера'!$E111,'Прайс Лазер'!$C$26:$T$34,1+VLOOKUP(F111,'Прайс Лазер'!$A$26:$B$34,2,0),0)</f>
        <v>21.849999999999998</v>
      </c>
      <c r="Q111" s="83">
        <f t="shared" si="13"/>
        <v>0</v>
      </c>
      <c r="R111" s="83">
        <f t="shared" si="14"/>
        <v>0</v>
      </c>
      <c r="S111" s="83">
        <f t="shared" si="15"/>
        <v>0</v>
      </c>
      <c r="T111" s="83">
        <f t="shared" si="17"/>
        <v>0</v>
      </c>
      <c r="U111" s="83">
        <f t="shared" si="16"/>
        <v>0</v>
      </c>
      <c r="V111" s="94">
        <f t="shared" si="18"/>
        <v>0</v>
      </c>
    </row>
    <row r="112" spans="1:22" ht="15">
      <c r="A112" s="93">
        <f t="shared" si="19"/>
        <v>110</v>
      </c>
      <c r="B112" s="83"/>
      <c r="C112" s="83"/>
      <c r="D112" s="83"/>
      <c r="E112" s="83">
        <v>1</v>
      </c>
      <c r="F112" s="91" t="s">
        <v>85</v>
      </c>
      <c r="G112" s="83"/>
      <c r="H112" s="83">
        <v>0</v>
      </c>
      <c r="I112" s="83">
        <v>0</v>
      </c>
      <c r="J112" s="83">
        <v>0</v>
      </c>
      <c r="K112" s="83">
        <v>0</v>
      </c>
      <c r="L112" s="83">
        <v>0</v>
      </c>
      <c r="M112" s="83">
        <f>VLOOKUP(F112,'Прайс Лазер'!$L$3:$M$9,2,0)</f>
        <v>94</v>
      </c>
      <c r="N112" s="83">
        <v>25</v>
      </c>
      <c r="O112" s="90">
        <f>VLOOKUP(E112,'Прайс Лазер'!$I$4:$J$21,2,0)</f>
        <v>1.1499999999999999</v>
      </c>
      <c r="P112" s="83">
        <f>HLOOKUP('Оценка лазера'!$E112,'Прайс Лазер'!$C$26:$T$34,1+VLOOKUP(F112,'Прайс Лазер'!$A$26:$B$34,2,0),0)</f>
        <v>21.849999999999998</v>
      </c>
      <c r="Q112" s="83">
        <f t="shared" si="13"/>
        <v>0</v>
      </c>
      <c r="R112" s="83">
        <f t="shared" si="14"/>
        <v>0</v>
      </c>
      <c r="S112" s="83">
        <f t="shared" si="15"/>
        <v>0</v>
      </c>
      <c r="T112" s="83">
        <f t="shared" si="17"/>
        <v>0</v>
      </c>
      <c r="U112" s="83">
        <f t="shared" si="16"/>
        <v>0</v>
      </c>
      <c r="V112" s="94">
        <f t="shared" si="18"/>
        <v>0</v>
      </c>
    </row>
    <row r="113" spans="1:22" ht="15">
      <c r="A113" s="93">
        <f t="shared" si="19"/>
        <v>111</v>
      </c>
      <c r="B113" s="83"/>
      <c r="C113" s="83"/>
      <c r="D113" s="83"/>
      <c r="E113" s="83">
        <v>1</v>
      </c>
      <c r="F113" s="91" t="s">
        <v>85</v>
      </c>
      <c r="G113" s="83"/>
      <c r="H113" s="83">
        <v>0</v>
      </c>
      <c r="I113" s="83">
        <v>0</v>
      </c>
      <c r="J113" s="83">
        <v>0</v>
      </c>
      <c r="K113" s="83">
        <v>0</v>
      </c>
      <c r="L113" s="83">
        <v>0</v>
      </c>
      <c r="M113" s="83">
        <f>VLOOKUP(F113,'Прайс Лазер'!$L$3:$M$9,2,0)</f>
        <v>94</v>
      </c>
      <c r="N113" s="83">
        <v>25</v>
      </c>
      <c r="O113" s="90">
        <f>VLOOKUP(E113,'Прайс Лазер'!$I$4:$J$21,2,0)</f>
        <v>1.1499999999999999</v>
      </c>
      <c r="P113" s="83">
        <f>HLOOKUP('Оценка лазера'!$E113,'Прайс Лазер'!$C$26:$T$34,1+VLOOKUP(F113,'Прайс Лазер'!$A$26:$B$34,2,0),0)</f>
        <v>21.849999999999998</v>
      </c>
      <c r="Q113" s="83">
        <f t="shared" si="13"/>
        <v>0</v>
      </c>
      <c r="R113" s="83">
        <f t="shared" si="14"/>
        <v>0</v>
      </c>
      <c r="S113" s="83">
        <f t="shared" si="15"/>
        <v>0</v>
      </c>
      <c r="T113" s="83">
        <f t="shared" si="17"/>
        <v>0</v>
      </c>
      <c r="U113" s="83">
        <f t="shared" si="16"/>
        <v>0</v>
      </c>
      <c r="V113" s="94">
        <f t="shared" si="18"/>
        <v>0</v>
      </c>
    </row>
    <row r="114" spans="1:22" ht="15">
      <c r="A114" s="93">
        <f t="shared" si="19"/>
        <v>112</v>
      </c>
      <c r="B114" s="83"/>
      <c r="C114" s="83"/>
      <c r="D114" s="83"/>
      <c r="E114" s="83">
        <v>1</v>
      </c>
      <c r="F114" s="91" t="s">
        <v>85</v>
      </c>
      <c r="G114" s="83"/>
      <c r="H114" s="83">
        <v>0</v>
      </c>
      <c r="I114" s="83">
        <v>0</v>
      </c>
      <c r="J114" s="83">
        <v>0</v>
      </c>
      <c r="K114" s="83">
        <v>0</v>
      </c>
      <c r="L114" s="83">
        <v>0</v>
      </c>
      <c r="M114" s="83">
        <f>VLOOKUP(F114,'Прайс Лазер'!$L$3:$M$9,2,0)</f>
        <v>94</v>
      </c>
      <c r="N114" s="83">
        <v>25</v>
      </c>
      <c r="O114" s="90">
        <f>VLOOKUP(E114,'Прайс Лазер'!$I$4:$J$21,2,0)</f>
        <v>1.1499999999999999</v>
      </c>
      <c r="P114" s="83">
        <f>HLOOKUP('Оценка лазера'!$E114,'Прайс Лазер'!$C$26:$T$34,1+VLOOKUP(F114,'Прайс Лазер'!$A$26:$B$34,2,0),0)</f>
        <v>21.849999999999998</v>
      </c>
      <c r="Q114" s="83">
        <f t="shared" si="13"/>
        <v>0</v>
      </c>
      <c r="R114" s="83">
        <f t="shared" si="14"/>
        <v>0</v>
      </c>
      <c r="S114" s="83">
        <f t="shared" si="15"/>
        <v>0</v>
      </c>
      <c r="T114" s="83">
        <f t="shared" si="17"/>
        <v>0</v>
      </c>
      <c r="U114" s="83">
        <f t="shared" si="16"/>
        <v>0</v>
      </c>
      <c r="V114" s="94">
        <f t="shared" si="18"/>
        <v>0</v>
      </c>
    </row>
    <row r="115" spans="1:22" ht="15">
      <c r="A115" s="93">
        <f t="shared" si="19"/>
        <v>113</v>
      </c>
      <c r="B115" s="83"/>
      <c r="C115" s="83"/>
      <c r="D115" s="83"/>
      <c r="E115" s="83">
        <v>1</v>
      </c>
      <c r="F115" s="91" t="s">
        <v>85</v>
      </c>
      <c r="G115" s="83"/>
      <c r="H115" s="83">
        <v>0</v>
      </c>
      <c r="I115" s="83">
        <v>0</v>
      </c>
      <c r="J115" s="83">
        <v>0</v>
      </c>
      <c r="K115" s="83">
        <v>0</v>
      </c>
      <c r="L115" s="83">
        <v>0</v>
      </c>
      <c r="M115" s="83">
        <f>VLOOKUP(F115,'Прайс Лазер'!$L$3:$M$9,2,0)</f>
        <v>94</v>
      </c>
      <c r="N115" s="83">
        <v>25</v>
      </c>
      <c r="O115" s="90">
        <f>VLOOKUP(E115,'Прайс Лазер'!$I$4:$J$21,2,0)</f>
        <v>1.1499999999999999</v>
      </c>
      <c r="P115" s="83">
        <f>HLOOKUP('Оценка лазера'!$E115,'Прайс Лазер'!$C$26:$T$34,1+VLOOKUP(F115,'Прайс Лазер'!$A$26:$B$34,2,0),0)</f>
        <v>21.849999999999998</v>
      </c>
      <c r="Q115" s="83">
        <f t="shared" si="13"/>
        <v>0</v>
      </c>
      <c r="R115" s="83">
        <f t="shared" si="14"/>
        <v>0</v>
      </c>
      <c r="S115" s="83">
        <f t="shared" si="15"/>
        <v>0</v>
      </c>
      <c r="T115" s="83">
        <f t="shared" si="17"/>
        <v>0</v>
      </c>
      <c r="U115" s="83">
        <f t="shared" si="16"/>
        <v>0</v>
      </c>
      <c r="V115" s="94">
        <f t="shared" si="18"/>
        <v>0</v>
      </c>
    </row>
    <row r="116" spans="1:22" ht="15">
      <c r="A116" s="93">
        <f t="shared" si="19"/>
        <v>114</v>
      </c>
      <c r="B116" s="83"/>
      <c r="C116" s="83"/>
      <c r="D116" s="83"/>
      <c r="E116" s="83">
        <v>1</v>
      </c>
      <c r="F116" s="91" t="s">
        <v>85</v>
      </c>
      <c r="G116" s="83"/>
      <c r="H116" s="83">
        <v>0</v>
      </c>
      <c r="I116" s="83">
        <v>0</v>
      </c>
      <c r="J116" s="83">
        <v>0</v>
      </c>
      <c r="K116" s="83">
        <v>0</v>
      </c>
      <c r="L116" s="83">
        <v>0</v>
      </c>
      <c r="M116" s="83">
        <f>VLOOKUP(F116,'Прайс Лазер'!$L$3:$M$9,2,0)</f>
        <v>94</v>
      </c>
      <c r="N116" s="83">
        <v>25</v>
      </c>
      <c r="O116" s="90">
        <f>VLOOKUP(E116,'Прайс Лазер'!$I$4:$J$21,2,0)</f>
        <v>1.1499999999999999</v>
      </c>
      <c r="P116" s="83">
        <f>HLOOKUP('Оценка лазера'!$E116,'Прайс Лазер'!$C$26:$T$34,1+VLOOKUP(F116,'Прайс Лазер'!$A$26:$B$34,2,0),0)</f>
        <v>21.849999999999998</v>
      </c>
      <c r="Q116" s="83">
        <f t="shared" si="13"/>
        <v>0</v>
      </c>
      <c r="R116" s="83">
        <f t="shared" si="14"/>
        <v>0</v>
      </c>
      <c r="S116" s="83">
        <f t="shared" si="15"/>
        <v>0</v>
      </c>
      <c r="T116" s="83">
        <f t="shared" si="17"/>
        <v>0</v>
      </c>
      <c r="U116" s="83">
        <f t="shared" si="16"/>
        <v>0</v>
      </c>
      <c r="V116" s="94">
        <f t="shared" si="18"/>
        <v>0</v>
      </c>
    </row>
    <row r="117" spans="1:22" ht="15">
      <c r="A117" s="93">
        <f t="shared" si="19"/>
        <v>115</v>
      </c>
      <c r="B117" s="83"/>
      <c r="C117" s="83"/>
      <c r="D117" s="83"/>
      <c r="E117" s="83">
        <v>1</v>
      </c>
      <c r="F117" s="91" t="s">
        <v>85</v>
      </c>
      <c r="G117" s="83"/>
      <c r="H117" s="83">
        <v>0</v>
      </c>
      <c r="I117" s="83">
        <v>0</v>
      </c>
      <c r="J117" s="83">
        <v>0</v>
      </c>
      <c r="K117" s="83">
        <v>0</v>
      </c>
      <c r="L117" s="83">
        <v>0</v>
      </c>
      <c r="M117" s="83">
        <f>VLOOKUP(F117,'Прайс Лазер'!$L$3:$M$9,2,0)</f>
        <v>94</v>
      </c>
      <c r="N117" s="83">
        <v>25</v>
      </c>
      <c r="O117" s="90">
        <f>VLOOKUP(E117,'Прайс Лазер'!$I$4:$J$21,2,0)</f>
        <v>1.1499999999999999</v>
      </c>
      <c r="P117" s="83">
        <f>HLOOKUP('Оценка лазера'!$E117,'Прайс Лазер'!$C$26:$T$34,1+VLOOKUP(F117,'Прайс Лазер'!$A$26:$B$34,2,0),0)</f>
        <v>21.849999999999998</v>
      </c>
      <c r="Q117" s="83">
        <f t="shared" si="13"/>
        <v>0</v>
      </c>
      <c r="R117" s="83">
        <f t="shared" si="14"/>
        <v>0</v>
      </c>
      <c r="S117" s="83">
        <f t="shared" si="15"/>
        <v>0</v>
      </c>
      <c r="T117" s="83">
        <f t="shared" si="17"/>
        <v>0</v>
      </c>
      <c r="U117" s="83">
        <f t="shared" si="16"/>
        <v>0</v>
      </c>
      <c r="V117" s="94">
        <f t="shared" si="18"/>
        <v>0</v>
      </c>
    </row>
    <row r="118" spans="1:22" ht="15">
      <c r="A118" s="93">
        <f t="shared" si="19"/>
        <v>116</v>
      </c>
      <c r="B118" s="83"/>
      <c r="C118" s="83"/>
      <c r="D118" s="83"/>
      <c r="E118" s="83">
        <v>1</v>
      </c>
      <c r="F118" s="91" t="s">
        <v>85</v>
      </c>
      <c r="G118" s="83"/>
      <c r="H118" s="83">
        <v>0</v>
      </c>
      <c r="I118" s="83">
        <v>0</v>
      </c>
      <c r="J118" s="83">
        <v>0</v>
      </c>
      <c r="K118" s="83">
        <v>0</v>
      </c>
      <c r="L118" s="83">
        <v>0</v>
      </c>
      <c r="M118" s="83">
        <f>VLOOKUP(F118,'Прайс Лазер'!$L$3:$M$9,2,0)</f>
        <v>94</v>
      </c>
      <c r="N118" s="83">
        <v>25</v>
      </c>
      <c r="O118" s="90">
        <f>VLOOKUP(E118,'Прайс Лазер'!$I$4:$J$21,2,0)</f>
        <v>1.1499999999999999</v>
      </c>
      <c r="P118" s="83">
        <f>HLOOKUP('Оценка лазера'!$E118,'Прайс Лазер'!$C$26:$T$34,1+VLOOKUP(F118,'Прайс Лазер'!$A$26:$B$34,2,0),0)</f>
        <v>21.849999999999998</v>
      </c>
      <c r="Q118" s="83">
        <f t="shared" si="13"/>
        <v>0</v>
      </c>
      <c r="R118" s="83">
        <f t="shared" si="14"/>
        <v>0</v>
      </c>
      <c r="S118" s="83">
        <f t="shared" si="15"/>
        <v>0</v>
      </c>
      <c r="T118" s="83">
        <f t="shared" si="17"/>
        <v>0</v>
      </c>
      <c r="U118" s="83">
        <f t="shared" si="16"/>
        <v>0</v>
      </c>
      <c r="V118" s="94">
        <f t="shared" si="18"/>
        <v>0</v>
      </c>
    </row>
    <row r="119" spans="1:22" ht="15">
      <c r="A119" s="93">
        <f t="shared" si="19"/>
        <v>117</v>
      </c>
      <c r="B119" s="83"/>
      <c r="C119" s="83"/>
      <c r="D119" s="83"/>
      <c r="E119" s="83">
        <v>1</v>
      </c>
      <c r="F119" s="91" t="s">
        <v>85</v>
      </c>
      <c r="G119" s="83"/>
      <c r="H119" s="83">
        <v>0</v>
      </c>
      <c r="I119" s="83">
        <v>0</v>
      </c>
      <c r="J119" s="83">
        <v>0</v>
      </c>
      <c r="K119" s="83">
        <v>0</v>
      </c>
      <c r="L119" s="83">
        <v>0</v>
      </c>
      <c r="M119" s="83">
        <f>VLOOKUP(F119,'Прайс Лазер'!$L$3:$M$9,2,0)</f>
        <v>94</v>
      </c>
      <c r="N119" s="83">
        <v>25</v>
      </c>
      <c r="O119" s="90">
        <f>VLOOKUP(E119,'Прайс Лазер'!$I$4:$J$21,2,0)</f>
        <v>1.1499999999999999</v>
      </c>
      <c r="P119" s="83">
        <f>HLOOKUP('Оценка лазера'!$E119,'Прайс Лазер'!$C$26:$T$34,1+VLOOKUP(F119,'Прайс Лазер'!$A$26:$B$34,2,0),0)</f>
        <v>21.849999999999998</v>
      </c>
      <c r="Q119" s="83">
        <f t="shared" si="13"/>
        <v>0</v>
      </c>
      <c r="R119" s="83">
        <f t="shared" si="14"/>
        <v>0</v>
      </c>
      <c r="S119" s="83">
        <f t="shared" si="15"/>
        <v>0</v>
      </c>
      <c r="T119" s="83">
        <f t="shared" si="17"/>
        <v>0</v>
      </c>
      <c r="U119" s="83">
        <f t="shared" si="16"/>
        <v>0</v>
      </c>
      <c r="V119" s="94">
        <f t="shared" si="18"/>
        <v>0</v>
      </c>
    </row>
    <row r="120" spans="1:22" ht="15">
      <c r="A120" s="93">
        <f t="shared" si="19"/>
        <v>118</v>
      </c>
      <c r="B120" s="83"/>
      <c r="C120" s="83"/>
      <c r="D120" s="83"/>
      <c r="E120" s="83">
        <v>1</v>
      </c>
      <c r="F120" s="91" t="s">
        <v>85</v>
      </c>
      <c r="G120" s="83"/>
      <c r="H120" s="83">
        <v>0</v>
      </c>
      <c r="I120" s="83">
        <v>0</v>
      </c>
      <c r="J120" s="83">
        <v>0</v>
      </c>
      <c r="K120" s="83">
        <v>0</v>
      </c>
      <c r="L120" s="83">
        <v>0</v>
      </c>
      <c r="M120" s="83">
        <f>VLOOKUP(F120,'Прайс Лазер'!$L$3:$M$9,2,0)</f>
        <v>94</v>
      </c>
      <c r="N120" s="83">
        <v>25</v>
      </c>
      <c r="O120" s="90">
        <f>VLOOKUP(E120,'Прайс Лазер'!$I$4:$J$21,2,0)</f>
        <v>1.1499999999999999</v>
      </c>
      <c r="P120" s="83">
        <f>HLOOKUP('Оценка лазера'!$E120,'Прайс Лазер'!$C$26:$T$34,1+VLOOKUP(F120,'Прайс Лазер'!$A$26:$B$34,2,0),0)</f>
        <v>21.849999999999998</v>
      </c>
      <c r="Q120" s="83">
        <f t="shared" si="13"/>
        <v>0</v>
      </c>
      <c r="R120" s="83">
        <f t="shared" si="14"/>
        <v>0</v>
      </c>
      <c r="S120" s="83">
        <f t="shared" si="15"/>
        <v>0</v>
      </c>
      <c r="T120" s="83">
        <f t="shared" si="17"/>
        <v>0</v>
      </c>
      <c r="U120" s="83">
        <f t="shared" si="16"/>
        <v>0</v>
      </c>
      <c r="V120" s="94">
        <f t="shared" si="18"/>
        <v>0</v>
      </c>
    </row>
    <row r="121" spans="1:22" ht="15">
      <c r="A121" s="93">
        <f t="shared" si="19"/>
        <v>119</v>
      </c>
      <c r="B121" s="83"/>
      <c r="C121" s="83"/>
      <c r="D121" s="83"/>
      <c r="E121" s="83">
        <v>1</v>
      </c>
      <c r="F121" s="91" t="s">
        <v>85</v>
      </c>
      <c r="G121" s="83"/>
      <c r="H121" s="83">
        <v>0</v>
      </c>
      <c r="I121" s="83">
        <v>0</v>
      </c>
      <c r="J121" s="83">
        <v>0</v>
      </c>
      <c r="K121" s="83">
        <v>0</v>
      </c>
      <c r="L121" s="83">
        <v>0</v>
      </c>
      <c r="M121" s="83">
        <f>VLOOKUP(F121,'Прайс Лазер'!$L$3:$M$9,2,0)</f>
        <v>94</v>
      </c>
      <c r="N121" s="83">
        <v>25</v>
      </c>
      <c r="O121" s="90">
        <f>VLOOKUP(E121,'Прайс Лазер'!$I$4:$J$21,2,0)</f>
        <v>1.1499999999999999</v>
      </c>
      <c r="P121" s="83">
        <f>HLOOKUP('Оценка лазера'!$E121,'Прайс Лазер'!$C$26:$T$34,1+VLOOKUP(F121,'Прайс Лазер'!$A$26:$B$34,2,0),0)</f>
        <v>21.849999999999998</v>
      </c>
      <c r="Q121" s="83">
        <f t="shared" si="13"/>
        <v>0</v>
      </c>
      <c r="R121" s="83">
        <f t="shared" si="14"/>
        <v>0</v>
      </c>
      <c r="S121" s="83">
        <f t="shared" si="15"/>
        <v>0</v>
      </c>
      <c r="T121" s="83">
        <f t="shared" si="17"/>
        <v>0</v>
      </c>
      <c r="U121" s="83">
        <f t="shared" si="16"/>
        <v>0</v>
      </c>
      <c r="V121" s="94">
        <f t="shared" si="18"/>
        <v>0</v>
      </c>
    </row>
    <row r="122" spans="1:22" ht="15">
      <c r="A122" s="93">
        <f t="shared" si="19"/>
        <v>120</v>
      </c>
      <c r="B122" s="83"/>
      <c r="C122" s="83"/>
      <c r="D122" s="83"/>
      <c r="E122" s="83">
        <v>1</v>
      </c>
      <c r="F122" s="91" t="s">
        <v>85</v>
      </c>
      <c r="G122" s="83"/>
      <c r="H122" s="83">
        <v>0</v>
      </c>
      <c r="I122" s="83">
        <v>0</v>
      </c>
      <c r="J122" s="83">
        <v>0</v>
      </c>
      <c r="K122" s="83">
        <v>0</v>
      </c>
      <c r="L122" s="83">
        <v>0</v>
      </c>
      <c r="M122" s="83">
        <f>VLOOKUP(F122,'Прайс Лазер'!$L$3:$M$9,2,0)</f>
        <v>94</v>
      </c>
      <c r="N122" s="83">
        <v>25</v>
      </c>
      <c r="O122" s="90">
        <f>VLOOKUP(E122,'Прайс Лазер'!$I$4:$J$21,2,0)</f>
        <v>1.1499999999999999</v>
      </c>
      <c r="P122" s="83">
        <f>HLOOKUP('Оценка лазера'!$E122,'Прайс Лазер'!$C$26:$T$34,1+VLOOKUP(F122,'Прайс Лазер'!$A$26:$B$34,2,0),0)</f>
        <v>21.849999999999998</v>
      </c>
      <c r="Q122" s="83">
        <f t="shared" si="13"/>
        <v>0</v>
      </c>
      <c r="R122" s="83">
        <f t="shared" si="14"/>
        <v>0</v>
      </c>
      <c r="S122" s="83">
        <f t="shared" si="15"/>
        <v>0</v>
      </c>
      <c r="T122" s="83">
        <f t="shared" si="17"/>
        <v>0</v>
      </c>
      <c r="U122" s="83">
        <f t="shared" si="16"/>
        <v>0</v>
      </c>
      <c r="V122" s="94">
        <f t="shared" si="18"/>
        <v>0</v>
      </c>
    </row>
    <row r="123" spans="1:22" ht="15">
      <c r="A123" s="93">
        <f t="shared" si="19"/>
        <v>121</v>
      </c>
      <c r="B123" s="83"/>
      <c r="C123" s="83"/>
      <c r="D123" s="83"/>
      <c r="E123" s="83">
        <v>1</v>
      </c>
      <c r="F123" s="91" t="s">
        <v>85</v>
      </c>
      <c r="G123" s="83"/>
      <c r="H123" s="83">
        <v>0</v>
      </c>
      <c r="I123" s="83">
        <v>0</v>
      </c>
      <c r="J123" s="83">
        <v>0</v>
      </c>
      <c r="K123" s="83">
        <v>0</v>
      </c>
      <c r="L123" s="83">
        <v>0</v>
      </c>
      <c r="M123" s="83">
        <f>VLOOKUP(F123,'Прайс Лазер'!$L$3:$M$9,2,0)</f>
        <v>94</v>
      </c>
      <c r="N123" s="83">
        <v>25</v>
      </c>
      <c r="O123" s="90">
        <f>VLOOKUP(E123,'Прайс Лазер'!$I$4:$J$21,2,0)</f>
        <v>1.1499999999999999</v>
      </c>
      <c r="P123" s="83">
        <f>HLOOKUP('Оценка лазера'!$E123,'Прайс Лазер'!$C$26:$T$34,1+VLOOKUP(F123,'Прайс Лазер'!$A$26:$B$34,2,0),0)</f>
        <v>21.849999999999998</v>
      </c>
      <c r="Q123" s="83">
        <f t="shared" si="13"/>
        <v>0</v>
      </c>
      <c r="R123" s="83">
        <f t="shared" si="14"/>
        <v>0</v>
      </c>
      <c r="S123" s="83">
        <f t="shared" si="15"/>
        <v>0</v>
      </c>
      <c r="T123" s="83">
        <f t="shared" si="17"/>
        <v>0</v>
      </c>
      <c r="U123" s="83">
        <f t="shared" si="16"/>
        <v>0</v>
      </c>
      <c r="V123" s="94">
        <f t="shared" si="18"/>
        <v>0</v>
      </c>
    </row>
    <row r="124" spans="1:22" ht="15">
      <c r="A124" s="93">
        <f t="shared" si="19"/>
        <v>122</v>
      </c>
      <c r="B124" s="83"/>
      <c r="C124" s="83"/>
      <c r="D124" s="83"/>
      <c r="E124" s="83">
        <v>1</v>
      </c>
      <c r="F124" s="91" t="s">
        <v>85</v>
      </c>
      <c r="G124" s="83"/>
      <c r="H124" s="83">
        <v>0</v>
      </c>
      <c r="I124" s="83">
        <v>0</v>
      </c>
      <c r="J124" s="83">
        <v>0</v>
      </c>
      <c r="K124" s="83">
        <v>0</v>
      </c>
      <c r="L124" s="83">
        <v>0</v>
      </c>
      <c r="M124" s="83">
        <f>VLOOKUP(F124,'Прайс Лазер'!$L$3:$M$9,2,0)</f>
        <v>94</v>
      </c>
      <c r="N124" s="83">
        <v>25</v>
      </c>
      <c r="O124" s="90">
        <f>VLOOKUP(E124,'Прайс Лазер'!$I$4:$J$21,2,0)</f>
        <v>1.1499999999999999</v>
      </c>
      <c r="P124" s="83">
        <f>HLOOKUP('Оценка лазера'!$E124,'Прайс Лазер'!$C$26:$T$34,1+VLOOKUP(F124,'Прайс Лазер'!$A$26:$B$34,2,0),0)</f>
        <v>21.849999999999998</v>
      </c>
      <c r="Q124" s="83">
        <f t="shared" si="13"/>
        <v>0</v>
      </c>
      <c r="R124" s="83">
        <f t="shared" si="14"/>
        <v>0</v>
      </c>
      <c r="S124" s="83">
        <f t="shared" si="15"/>
        <v>0</v>
      </c>
      <c r="T124" s="83">
        <f t="shared" si="17"/>
        <v>0</v>
      </c>
      <c r="U124" s="83">
        <f t="shared" si="16"/>
        <v>0</v>
      </c>
      <c r="V124" s="94">
        <f t="shared" si="18"/>
        <v>0</v>
      </c>
    </row>
    <row r="125" spans="1:22" ht="15">
      <c r="A125" s="93">
        <f t="shared" si="19"/>
        <v>123</v>
      </c>
      <c r="B125" s="83"/>
      <c r="C125" s="83"/>
      <c r="D125" s="83"/>
      <c r="E125" s="83">
        <v>1</v>
      </c>
      <c r="F125" s="91" t="s">
        <v>85</v>
      </c>
      <c r="G125" s="83"/>
      <c r="H125" s="83">
        <v>0</v>
      </c>
      <c r="I125" s="83">
        <v>0</v>
      </c>
      <c r="J125" s="83">
        <v>0</v>
      </c>
      <c r="K125" s="83">
        <v>0</v>
      </c>
      <c r="L125" s="83">
        <v>0</v>
      </c>
      <c r="M125" s="83">
        <f>VLOOKUP(F125,'Прайс Лазер'!$L$3:$M$9,2,0)</f>
        <v>94</v>
      </c>
      <c r="N125" s="83">
        <v>25</v>
      </c>
      <c r="O125" s="90">
        <f>VLOOKUP(E125,'Прайс Лазер'!$I$4:$J$21,2,0)</f>
        <v>1.1499999999999999</v>
      </c>
      <c r="P125" s="83">
        <f>HLOOKUP('Оценка лазера'!$E125,'Прайс Лазер'!$C$26:$T$34,1+VLOOKUP(F125,'Прайс Лазер'!$A$26:$B$34,2,0),0)</f>
        <v>21.849999999999998</v>
      </c>
      <c r="Q125" s="83">
        <f t="shared" si="13"/>
        <v>0</v>
      </c>
      <c r="R125" s="83">
        <f t="shared" si="14"/>
        <v>0</v>
      </c>
      <c r="S125" s="83">
        <f t="shared" si="15"/>
        <v>0</v>
      </c>
      <c r="T125" s="83">
        <f t="shared" si="17"/>
        <v>0</v>
      </c>
      <c r="U125" s="83">
        <f t="shared" si="16"/>
        <v>0</v>
      </c>
      <c r="V125" s="94">
        <f t="shared" si="18"/>
        <v>0</v>
      </c>
    </row>
    <row r="126" spans="1:22" ht="15">
      <c r="A126" s="93">
        <f t="shared" si="19"/>
        <v>124</v>
      </c>
      <c r="B126" s="83"/>
      <c r="C126" s="83"/>
      <c r="D126" s="83"/>
      <c r="E126" s="83">
        <v>1</v>
      </c>
      <c r="F126" s="91" t="s">
        <v>85</v>
      </c>
      <c r="G126" s="83"/>
      <c r="H126" s="83">
        <v>0</v>
      </c>
      <c r="I126" s="83">
        <v>0</v>
      </c>
      <c r="J126" s="83">
        <v>0</v>
      </c>
      <c r="K126" s="83">
        <v>0</v>
      </c>
      <c r="L126" s="83">
        <v>0</v>
      </c>
      <c r="M126" s="83">
        <f>VLOOKUP(F126,'Прайс Лазер'!$L$3:$M$9,2,0)</f>
        <v>94</v>
      </c>
      <c r="N126" s="83">
        <v>25</v>
      </c>
      <c r="O126" s="90">
        <f>VLOOKUP(E126,'Прайс Лазер'!$I$4:$J$21,2,0)</f>
        <v>1.1499999999999999</v>
      </c>
      <c r="P126" s="83">
        <f>HLOOKUP('Оценка лазера'!$E126,'Прайс Лазер'!$C$26:$T$34,1+VLOOKUP(F126,'Прайс Лазер'!$A$26:$B$34,2,0),0)</f>
        <v>21.849999999999998</v>
      </c>
      <c r="Q126" s="83">
        <f t="shared" si="13"/>
        <v>0</v>
      </c>
      <c r="R126" s="83">
        <f t="shared" si="14"/>
        <v>0</v>
      </c>
      <c r="S126" s="83">
        <f t="shared" si="15"/>
        <v>0</v>
      </c>
      <c r="T126" s="83">
        <f t="shared" si="17"/>
        <v>0</v>
      </c>
      <c r="U126" s="83">
        <f t="shared" si="16"/>
        <v>0</v>
      </c>
      <c r="V126" s="94">
        <f t="shared" si="18"/>
        <v>0</v>
      </c>
    </row>
    <row r="127" spans="1:22" ht="15">
      <c r="A127" s="93">
        <f t="shared" si="19"/>
        <v>125</v>
      </c>
      <c r="B127" s="83"/>
      <c r="C127" s="83"/>
      <c r="D127" s="83"/>
      <c r="E127" s="83">
        <v>1</v>
      </c>
      <c r="F127" s="91" t="s">
        <v>85</v>
      </c>
      <c r="G127" s="83"/>
      <c r="H127" s="83">
        <v>0</v>
      </c>
      <c r="I127" s="83">
        <v>0</v>
      </c>
      <c r="J127" s="83">
        <v>0</v>
      </c>
      <c r="K127" s="83">
        <v>0</v>
      </c>
      <c r="L127" s="83">
        <v>0</v>
      </c>
      <c r="M127" s="83">
        <f>VLOOKUP(F127,'Прайс Лазер'!$L$3:$M$9,2,0)</f>
        <v>94</v>
      </c>
      <c r="N127" s="83">
        <v>25</v>
      </c>
      <c r="O127" s="90">
        <f>VLOOKUP(E127,'Прайс Лазер'!$I$4:$J$21,2,0)</f>
        <v>1.1499999999999999</v>
      </c>
      <c r="P127" s="83">
        <f>HLOOKUP('Оценка лазера'!$E127,'Прайс Лазер'!$C$26:$T$34,1+VLOOKUP(F127,'Прайс Лазер'!$A$26:$B$34,2,0),0)</f>
        <v>21.849999999999998</v>
      </c>
      <c r="Q127" s="83">
        <f t="shared" si="13"/>
        <v>0</v>
      </c>
      <c r="R127" s="83">
        <f t="shared" si="14"/>
        <v>0</v>
      </c>
      <c r="S127" s="83">
        <f t="shared" si="15"/>
        <v>0</v>
      </c>
      <c r="T127" s="83">
        <f t="shared" si="17"/>
        <v>0</v>
      </c>
      <c r="U127" s="83">
        <f t="shared" si="16"/>
        <v>0</v>
      </c>
      <c r="V127" s="94">
        <f t="shared" si="18"/>
        <v>0</v>
      </c>
    </row>
    <row r="128" spans="1:22" ht="15">
      <c r="A128" s="93">
        <f t="shared" si="19"/>
        <v>126</v>
      </c>
      <c r="B128" s="83"/>
      <c r="C128" s="83"/>
      <c r="D128" s="83"/>
      <c r="E128" s="83">
        <v>1</v>
      </c>
      <c r="F128" s="91" t="s">
        <v>85</v>
      </c>
      <c r="G128" s="83"/>
      <c r="H128" s="83">
        <v>0</v>
      </c>
      <c r="I128" s="83">
        <v>0</v>
      </c>
      <c r="J128" s="83">
        <v>0</v>
      </c>
      <c r="K128" s="83">
        <v>0</v>
      </c>
      <c r="L128" s="83">
        <v>0</v>
      </c>
      <c r="M128" s="83">
        <f>VLOOKUP(F128,'Прайс Лазер'!$L$3:$M$9,2,0)</f>
        <v>94</v>
      </c>
      <c r="N128" s="83">
        <v>25</v>
      </c>
      <c r="O128" s="90">
        <f>VLOOKUP(E128,'Прайс Лазер'!$I$4:$J$21,2,0)</f>
        <v>1.1499999999999999</v>
      </c>
      <c r="P128" s="83">
        <f>HLOOKUP('Оценка лазера'!$E128,'Прайс Лазер'!$C$26:$T$34,1+VLOOKUP(F128,'Прайс Лазер'!$A$26:$B$34,2,0),0)</f>
        <v>21.849999999999998</v>
      </c>
      <c r="Q128" s="83">
        <f t="shared" si="13"/>
        <v>0</v>
      </c>
      <c r="R128" s="83">
        <f t="shared" si="14"/>
        <v>0</v>
      </c>
      <c r="S128" s="83">
        <f t="shared" si="15"/>
        <v>0</v>
      </c>
      <c r="T128" s="83">
        <f t="shared" si="17"/>
        <v>0</v>
      </c>
      <c r="U128" s="83">
        <f t="shared" si="16"/>
        <v>0</v>
      </c>
      <c r="V128" s="94">
        <f t="shared" si="18"/>
        <v>0</v>
      </c>
    </row>
    <row r="129" spans="1:22" ht="15">
      <c r="A129" s="93">
        <f t="shared" si="19"/>
        <v>127</v>
      </c>
      <c r="B129" s="83"/>
      <c r="C129" s="83"/>
      <c r="D129" s="83"/>
      <c r="E129" s="83">
        <v>1</v>
      </c>
      <c r="F129" s="91" t="s">
        <v>85</v>
      </c>
      <c r="G129" s="83"/>
      <c r="H129" s="83">
        <v>0</v>
      </c>
      <c r="I129" s="83">
        <v>0</v>
      </c>
      <c r="J129" s="83">
        <v>0</v>
      </c>
      <c r="K129" s="83">
        <v>0</v>
      </c>
      <c r="L129" s="83">
        <v>0</v>
      </c>
      <c r="M129" s="83">
        <f>VLOOKUP(F129,'Прайс Лазер'!$L$3:$M$9,2,0)</f>
        <v>94</v>
      </c>
      <c r="N129" s="83">
        <v>25</v>
      </c>
      <c r="O129" s="90">
        <f>VLOOKUP(E129,'Прайс Лазер'!$I$4:$J$21,2,0)</f>
        <v>1.1499999999999999</v>
      </c>
      <c r="P129" s="83">
        <f>HLOOKUP('Оценка лазера'!$E129,'Прайс Лазер'!$C$26:$T$34,1+VLOOKUP(F129,'Прайс Лазер'!$A$26:$B$34,2,0),0)</f>
        <v>21.849999999999998</v>
      </c>
      <c r="Q129" s="83">
        <f t="shared" si="13"/>
        <v>0</v>
      </c>
      <c r="R129" s="83">
        <f t="shared" si="14"/>
        <v>0</v>
      </c>
      <c r="S129" s="83">
        <f t="shared" si="15"/>
        <v>0</v>
      </c>
      <c r="T129" s="83">
        <f t="shared" si="17"/>
        <v>0</v>
      </c>
      <c r="U129" s="83">
        <f t="shared" si="16"/>
        <v>0</v>
      </c>
      <c r="V129" s="94">
        <f t="shared" si="18"/>
        <v>0</v>
      </c>
    </row>
    <row r="130" spans="1:22" ht="15">
      <c r="A130" s="93">
        <f t="shared" si="19"/>
        <v>128</v>
      </c>
      <c r="B130" s="83"/>
      <c r="C130" s="83"/>
      <c r="D130" s="83"/>
      <c r="E130" s="83">
        <v>1</v>
      </c>
      <c r="F130" s="91" t="s">
        <v>85</v>
      </c>
      <c r="G130" s="83"/>
      <c r="H130" s="83">
        <v>0</v>
      </c>
      <c r="I130" s="83">
        <v>0</v>
      </c>
      <c r="J130" s="83">
        <v>0</v>
      </c>
      <c r="K130" s="83">
        <v>0</v>
      </c>
      <c r="L130" s="83">
        <v>0</v>
      </c>
      <c r="M130" s="83">
        <f>VLOOKUP(F130,'Прайс Лазер'!$L$3:$M$9,2,0)</f>
        <v>94</v>
      </c>
      <c r="N130" s="83">
        <v>25</v>
      </c>
      <c r="O130" s="90">
        <f>VLOOKUP(E130,'Прайс Лазер'!$I$4:$J$21,2,0)</f>
        <v>1.1499999999999999</v>
      </c>
      <c r="P130" s="83">
        <f>HLOOKUP('Оценка лазера'!$E130,'Прайс Лазер'!$C$26:$T$34,1+VLOOKUP(F130,'Прайс Лазер'!$A$26:$B$34,2,0),0)</f>
        <v>21.849999999999998</v>
      </c>
      <c r="Q130" s="83">
        <f t="shared" si="13"/>
        <v>0</v>
      </c>
      <c r="R130" s="83">
        <f t="shared" si="14"/>
        <v>0</v>
      </c>
      <c r="S130" s="83">
        <f t="shared" si="15"/>
        <v>0</v>
      </c>
      <c r="T130" s="83">
        <f t="shared" si="17"/>
        <v>0</v>
      </c>
      <c r="U130" s="83">
        <f t="shared" si="16"/>
        <v>0</v>
      </c>
      <c r="V130" s="94">
        <f t="shared" si="18"/>
        <v>0</v>
      </c>
    </row>
    <row r="131" spans="1:22" ht="15">
      <c r="A131" s="93">
        <f t="shared" si="19"/>
        <v>129</v>
      </c>
      <c r="B131" s="83"/>
      <c r="C131" s="83"/>
      <c r="D131" s="83"/>
      <c r="E131" s="83">
        <v>1</v>
      </c>
      <c r="F131" s="91" t="s">
        <v>85</v>
      </c>
      <c r="G131" s="83"/>
      <c r="H131" s="83">
        <v>0</v>
      </c>
      <c r="I131" s="83">
        <v>0</v>
      </c>
      <c r="J131" s="83">
        <v>0</v>
      </c>
      <c r="K131" s="83">
        <v>0</v>
      </c>
      <c r="L131" s="83">
        <v>0</v>
      </c>
      <c r="M131" s="83">
        <f>VLOOKUP(F131,'Прайс Лазер'!$L$3:$M$9,2,0)</f>
        <v>94</v>
      </c>
      <c r="N131" s="83">
        <v>25</v>
      </c>
      <c r="O131" s="90">
        <f>VLOOKUP(E131,'Прайс Лазер'!$I$4:$J$21,2,0)</f>
        <v>1.1499999999999999</v>
      </c>
      <c r="P131" s="83">
        <f>HLOOKUP('Оценка лазера'!$E131,'Прайс Лазер'!$C$26:$T$34,1+VLOOKUP(F131,'Прайс Лазер'!$A$26:$B$34,2,0),0)</f>
        <v>21.849999999999998</v>
      </c>
      <c r="Q131" s="83">
        <f t="shared" ref="Q131:Q194" si="20">H131*M131</f>
        <v>0</v>
      </c>
      <c r="R131" s="83">
        <f t="shared" ref="R131:R194" si="21">I131*N131</f>
        <v>0</v>
      </c>
      <c r="S131" s="83">
        <f t="shared" ref="S131:S194" si="22">(K131+L131)/1000*1.1*P131+(J131*O131)</f>
        <v>0</v>
      </c>
      <c r="T131" s="83">
        <f t="shared" si="17"/>
        <v>0</v>
      </c>
      <c r="U131" s="83">
        <f t="shared" ref="U131:U194" si="23">D131*T131</f>
        <v>0</v>
      </c>
      <c r="V131" s="94">
        <f t="shared" si="18"/>
        <v>0</v>
      </c>
    </row>
    <row r="132" spans="1:22" ht="15">
      <c r="A132" s="93">
        <f t="shared" si="19"/>
        <v>130</v>
      </c>
      <c r="B132" s="83"/>
      <c r="C132" s="83"/>
      <c r="D132" s="83"/>
      <c r="E132" s="83">
        <v>1</v>
      </c>
      <c r="F132" s="91" t="s">
        <v>85</v>
      </c>
      <c r="G132" s="83"/>
      <c r="H132" s="83">
        <v>0</v>
      </c>
      <c r="I132" s="83">
        <v>0</v>
      </c>
      <c r="J132" s="83">
        <v>0</v>
      </c>
      <c r="K132" s="83">
        <v>0</v>
      </c>
      <c r="L132" s="83">
        <v>0</v>
      </c>
      <c r="M132" s="83">
        <f>VLOOKUP(F132,'Прайс Лазер'!$L$3:$M$9,2,0)</f>
        <v>94</v>
      </c>
      <c r="N132" s="83">
        <v>25</v>
      </c>
      <c r="O132" s="90">
        <f>VLOOKUP(E132,'Прайс Лазер'!$I$4:$J$21,2,0)</f>
        <v>1.1499999999999999</v>
      </c>
      <c r="P132" s="83">
        <f>HLOOKUP('Оценка лазера'!$E132,'Прайс Лазер'!$C$26:$T$34,1+VLOOKUP(F132,'Прайс Лазер'!$A$26:$B$34,2,0),0)</f>
        <v>21.849999999999998</v>
      </c>
      <c r="Q132" s="83">
        <f t="shared" si="20"/>
        <v>0</v>
      </c>
      <c r="R132" s="83">
        <f t="shared" si="21"/>
        <v>0</v>
      </c>
      <c r="S132" s="83">
        <f t="shared" si="22"/>
        <v>0</v>
      </c>
      <c r="T132" s="83">
        <f t="shared" ref="T132:T195" si="24">Q132+R132+S132</f>
        <v>0</v>
      </c>
      <c r="U132" s="83">
        <f t="shared" si="23"/>
        <v>0</v>
      </c>
      <c r="V132" s="94">
        <f t="shared" ref="V132:V195" si="25">U132/1.2</f>
        <v>0</v>
      </c>
    </row>
    <row r="133" spans="1:22" ht="15">
      <c r="A133" s="93">
        <f t="shared" ref="A133:A196" si="26">A132+1</f>
        <v>131</v>
      </c>
      <c r="B133" s="83"/>
      <c r="C133" s="83"/>
      <c r="D133" s="83"/>
      <c r="E133" s="83">
        <v>1</v>
      </c>
      <c r="F133" s="91" t="s">
        <v>85</v>
      </c>
      <c r="G133" s="83"/>
      <c r="H133" s="83">
        <v>0</v>
      </c>
      <c r="I133" s="83">
        <v>0</v>
      </c>
      <c r="J133" s="83">
        <v>0</v>
      </c>
      <c r="K133" s="83">
        <v>0</v>
      </c>
      <c r="L133" s="83">
        <v>0</v>
      </c>
      <c r="M133" s="83">
        <f>VLOOKUP(F133,'Прайс Лазер'!$L$3:$M$9,2,0)</f>
        <v>94</v>
      </c>
      <c r="N133" s="83">
        <v>25</v>
      </c>
      <c r="O133" s="90">
        <f>VLOOKUP(E133,'Прайс Лазер'!$I$4:$J$21,2,0)</f>
        <v>1.1499999999999999</v>
      </c>
      <c r="P133" s="83">
        <f>HLOOKUP('Оценка лазера'!$E133,'Прайс Лазер'!$C$26:$T$34,1+VLOOKUP(F133,'Прайс Лазер'!$A$26:$B$34,2,0),0)</f>
        <v>21.849999999999998</v>
      </c>
      <c r="Q133" s="83">
        <f t="shared" si="20"/>
        <v>0</v>
      </c>
      <c r="R133" s="83">
        <f t="shared" si="21"/>
        <v>0</v>
      </c>
      <c r="S133" s="83">
        <f t="shared" si="22"/>
        <v>0</v>
      </c>
      <c r="T133" s="83">
        <f t="shared" si="24"/>
        <v>0</v>
      </c>
      <c r="U133" s="83">
        <f t="shared" si="23"/>
        <v>0</v>
      </c>
      <c r="V133" s="94">
        <f t="shared" si="25"/>
        <v>0</v>
      </c>
    </row>
    <row r="134" spans="1:22" ht="15">
      <c r="A134" s="93">
        <f t="shared" si="26"/>
        <v>132</v>
      </c>
      <c r="B134" s="83"/>
      <c r="C134" s="83"/>
      <c r="D134" s="83"/>
      <c r="E134" s="83">
        <v>1</v>
      </c>
      <c r="F134" s="91" t="s">
        <v>85</v>
      </c>
      <c r="G134" s="83"/>
      <c r="H134" s="83">
        <v>0</v>
      </c>
      <c r="I134" s="83">
        <v>0</v>
      </c>
      <c r="J134" s="83">
        <v>0</v>
      </c>
      <c r="K134" s="83">
        <v>0</v>
      </c>
      <c r="L134" s="83">
        <v>0</v>
      </c>
      <c r="M134" s="83">
        <f>VLOOKUP(F134,'Прайс Лазер'!$L$3:$M$9,2,0)</f>
        <v>94</v>
      </c>
      <c r="N134" s="83">
        <v>25</v>
      </c>
      <c r="O134" s="90">
        <f>VLOOKUP(E134,'Прайс Лазер'!$I$4:$J$21,2,0)</f>
        <v>1.1499999999999999</v>
      </c>
      <c r="P134" s="83">
        <f>HLOOKUP('Оценка лазера'!$E134,'Прайс Лазер'!$C$26:$T$34,1+VLOOKUP(F134,'Прайс Лазер'!$A$26:$B$34,2,0),0)</f>
        <v>21.849999999999998</v>
      </c>
      <c r="Q134" s="83">
        <f t="shared" si="20"/>
        <v>0</v>
      </c>
      <c r="R134" s="83">
        <f t="shared" si="21"/>
        <v>0</v>
      </c>
      <c r="S134" s="83">
        <f t="shared" si="22"/>
        <v>0</v>
      </c>
      <c r="T134" s="83">
        <f t="shared" si="24"/>
        <v>0</v>
      </c>
      <c r="U134" s="83">
        <f t="shared" si="23"/>
        <v>0</v>
      </c>
      <c r="V134" s="94">
        <f t="shared" si="25"/>
        <v>0</v>
      </c>
    </row>
    <row r="135" spans="1:22" ht="15">
      <c r="A135" s="93">
        <f t="shared" si="26"/>
        <v>133</v>
      </c>
      <c r="B135" s="83"/>
      <c r="C135" s="83"/>
      <c r="D135" s="83"/>
      <c r="E135" s="83">
        <v>1</v>
      </c>
      <c r="F135" s="91" t="s">
        <v>85</v>
      </c>
      <c r="G135" s="83"/>
      <c r="H135" s="83">
        <v>0</v>
      </c>
      <c r="I135" s="83">
        <v>0</v>
      </c>
      <c r="J135" s="83">
        <v>0</v>
      </c>
      <c r="K135" s="83">
        <v>0</v>
      </c>
      <c r="L135" s="83">
        <v>0</v>
      </c>
      <c r="M135" s="83">
        <f>VLOOKUP(F135,'Прайс Лазер'!$L$3:$M$9,2,0)</f>
        <v>94</v>
      </c>
      <c r="N135" s="83">
        <v>25</v>
      </c>
      <c r="O135" s="90">
        <f>VLOOKUP(E135,'Прайс Лазер'!$I$4:$J$21,2,0)</f>
        <v>1.1499999999999999</v>
      </c>
      <c r="P135" s="83">
        <f>HLOOKUP('Оценка лазера'!$E135,'Прайс Лазер'!$C$26:$T$34,1+VLOOKUP(F135,'Прайс Лазер'!$A$26:$B$34,2,0),0)</f>
        <v>21.849999999999998</v>
      </c>
      <c r="Q135" s="83">
        <f t="shared" si="20"/>
        <v>0</v>
      </c>
      <c r="R135" s="83">
        <f t="shared" si="21"/>
        <v>0</v>
      </c>
      <c r="S135" s="83">
        <f t="shared" si="22"/>
        <v>0</v>
      </c>
      <c r="T135" s="83">
        <f t="shared" si="24"/>
        <v>0</v>
      </c>
      <c r="U135" s="83">
        <f t="shared" si="23"/>
        <v>0</v>
      </c>
      <c r="V135" s="94">
        <f t="shared" si="25"/>
        <v>0</v>
      </c>
    </row>
    <row r="136" spans="1:22" ht="15">
      <c r="A136" s="93">
        <f t="shared" si="26"/>
        <v>134</v>
      </c>
      <c r="B136" s="83"/>
      <c r="C136" s="83"/>
      <c r="D136" s="83"/>
      <c r="E136" s="83">
        <v>1</v>
      </c>
      <c r="F136" s="91" t="s">
        <v>85</v>
      </c>
      <c r="G136" s="83"/>
      <c r="H136" s="83">
        <v>0</v>
      </c>
      <c r="I136" s="83">
        <v>0</v>
      </c>
      <c r="J136" s="83">
        <v>0</v>
      </c>
      <c r="K136" s="83">
        <v>0</v>
      </c>
      <c r="L136" s="83">
        <v>0</v>
      </c>
      <c r="M136" s="83">
        <f>VLOOKUP(F136,'Прайс Лазер'!$L$3:$M$9,2,0)</f>
        <v>94</v>
      </c>
      <c r="N136" s="83">
        <v>25</v>
      </c>
      <c r="O136" s="90">
        <f>VLOOKUP(E136,'Прайс Лазер'!$I$4:$J$21,2,0)</f>
        <v>1.1499999999999999</v>
      </c>
      <c r="P136" s="83">
        <f>HLOOKUP('Оценка лазера'!$E136,'Прайс Лазер'!$C$26:$T$34,1+VLOOKUP(F136,'Прайс Лазер'!$A$26:$B$34,2,0),0)</f>
        <v>21.849999999999998</v>
      </c>
      <c r="Q136" s="83">
        <f t="shared" si="20"/>
        <v>0</v>
      </c>
      <c r="R136" s="83">
        <f t="shared" si="21"/>
        <v>0</v>
      </c>
      <c r="S136" s="83">
        <f t="shared" si="22"/>
        <v>0</v>
      </c>
      <c r="T136" s="83">
        <f t="shared" si="24"/>
        <v>0</v>
      </c>
      <c r="U136" s="83">
        <f t="shared" si="23"/>
        <v>0</v>
      </c>
      <c r="V136" s="94">
        <f t="shared" si="25"/>
        <v>0</v>
      </c>
    </row>
    <row r="137" spans="1:22" ht="15">
      <c r="A137" s="93">
        <f t="shared" si="26"/>
        <v>135</v>
      </c>
      <c r="B137" s="83"/>
      <c r="C137" s="83"/>
      <c r="D137" s="83"/>
      <c r="E137" s="83">
        <v>1</v>
      </c>
      <c r="F137" s="91" t="s">
        <v>85</v>
      </c>
      <c r="G137" s="83"/>
      <c r="H137" s="83">
        <v>0</v>
      </c>
      <c r="I137" s="83">
        <v>0</v>
      </c>
      <c r="J137" s="83">
        <v>0</v>
      </c>
      <c r="K137" s="83">
        <v>0</v>
      </c>
      <c r="L137" s="83">
        <v>0</v>
      </c>
      <c r="M137" s="83">
        <f>VLOOKUP(F137,'Прайс Лазер'!$L$3:$M$9,2,0)</f>
        <v>94</v>
      </c>
      <c r="N137" s="83">
        <v>25</v>
      </c>
      <c r="O137" s="90">
        <f>VLOOKUP(E137,'Прайс Лазер'!$I$4:$J$21,2,0)</f>
        <v>1.1499999999999999</v>
      </c>
      <c r="P137" s="83">
        <f>HLOOKUP('Оценка лазера'!$E137,'Прайс Лазер'!$C$26:$T$34,1+VLOOKUP(F137,'Прайс Лазер'!$A$26:$B$34,2,0),0)</f>
        <v>21.849999999999998</v>
      </c>
      <c r="Q137" s="83">
        <f t="shared" si="20"/>
        <v>0</v>
      </c>
      <c r="R137" s="83">
        <f t="shared" si="21"/>
        <v>0</v>
      </c>
      <c r="S137" s="83">
        <f t="shared" si="22"/>
        <v>0</v>
      </c>
      <c r="T137" s="83">
        <f t="shared" si="24"/>
        <v>0</v>
      </c>
      <c r="U137" s="83">
        <f t="shared" si="23"/>
        <v>0</v>
      </c>
      <c r="V137" s="94">
        <f t="shared" si="25"/>
        <v>0</v>
      </c>
    </row>
    <row r="138" spans="1:22" ht="15">
      <c r="A138" s="93">
        <f t="shared" si="26"/>
        <v>136</v>
      </c>
      <c r="B138" s="83"/>
      <c r="C138" s="83"/>
      <c r="D138" s="83"/>
      <c r="E138" s="83">
        <v>1</v>
      </c>
      <c r="F138" s="91" t="s">
        <v>85</v>
      </c>
      <c r="G138" s="83"/>
      <c r="H138" s="83">
        <v>0</v>
      </c>
      <c r="I138" s="83">
        <v>0</v>
      </c>
      <c r="J138" s="83">
        <v>0</v>
      </c>
      <c r="K138" s="83">
        <v>0</v>
      </c>
      <c r="L138" s="83">
        <v>0</v>
      </c>
      <c r="M138" s="83">
        <f>VLOOKUP(F138,'Прайс Лазер'!$L$3:$M$9,2,0)</f>
        <v>94</v>
      </c>
      <c r="N138" s="83">
        <v>25</v>
      </c>
      <c r="O138" s="90">
        <f>VLOOKUP(E138,'Прайс Лазер'!$I$4:$J$21,2,0)</f>
        <v>1.1499999999999999</v>
      </c>
      <c r="P138" s="83">
        <f>HLOOKUP('Оценка лазера'!$E138,'Прайс Лазер'!$C$26:$T$34,1+VLOOKUP(F138,'Прайс Лазер'!$A$26:$B$34,2,0),0)</f>
        <v>21.849999999999998</v>
      </c>
      <c r="Q138" s="83">
        <f t="shared" si="20"/>
        <v>0</v>
      </c>
      <c r="R138" s="83">
        <f t="shared" si="21"/>
        <v>0</v>
      </c>
      <c r="S138" s="83">
        <f t="shared" si="22"/>
        <v>0</v>
      </c>
      <c r="T138" s="83">
        <f t="shared" si="24"/>
        <v>0</v>
      </c>
      <c r="U138" s="83">
        <f t="shared" si="23"/>
        <v>0</v>
      </c>
      <c r="V138" s="94">
        <f t="shared" si="25"/>
        <v>0</v>
      </c>
    </row>
    <row r="139" spans="1:22" ht="15">
      <c r="A139" s="93">
        <f t="shared" si="26"/>
        <v>137</v>
      </c>
      <c r="B139" s="83"/>
      <c r="C139" s="83"/>
      <c r="D139" s="83"/>
      <c r="E139" s="83">
        <v>1</v>
      </c>
      <c r="F139" s="91" t="s">
        <v>85</v>
      </c>
      <c r="G139" s="83"/>
      <c r="H139" s="83">
        <v>0</v>
      </c>
      <c r="I139" s="83">
        <v>0</v>
      </c>
      <c r="J139" s="83">
        <v>0</v>
      </c>
      <c r="K139" s="83">
        <v>0</v>
      </c>
      <c r="L139" s="83">
        <v>0</v>
      </c>
      <c r="M139" s="83">
        <f>VLOOKUP(F139,'Прайс Лазер'!$L$3:$M$9,2,0)</f>
        <v>94</v>
      </c>
      <c r="N139" s="83">
        <v>25</v>
      </c>
      <c r="O139" s="90">
        <f>VLOOKUP(E139,'Прайс Лазер'!$I$4:$J$21,2,0)</f>
        <v>1.1499999999999999</v>
      </c>
      <c r="P139" s="83">
        <f>HLOOKUP('Оценка лазера'!$E139,'Прайс Лазер'!$C$26:$T$34,1+VLOOKUP(F139,'Прайс Лазер'!$A$26:$B$34,2,0),0)</f>
        <v>21.849999999999998</v>
      </c>
      <c r="Q139" s="83">
        <f t="shared" si="20"/>
        <v>0</v>
      </c>
      <c r="R139" s="83">
        <f t="shared" si="21"/>
        <v>0</v>
      </c>
      <c r="S139" s="83">
        <f t="shared" si="22"/>
        <v>0</v>
      </c>
      <c r="T139" s="83">
        <f t="shared" si="24"/>
        <v>0</v>
      </c>
      <c r="U139" s="83">
        <f t="shared" si="23"/>
        <v>0</v>
      </c>
      <c r="V139" s="94">
        <f t="shared" si="25"/>
        <v>0</v>
      </c>
    </row>
    <row r="140" spans="1:22" ht="15">
      <c r="A140" s="93">
        <f t="shared" si="26"/>
        <v>138</v>
      </c>
      <c r="B140" s="83"/>
      <c r="C140" s="83"/>
      <c r="D140" s="83"/>
      <c r="E140" s="83">
        <v>1</v>
      </c>
      <c r="F140" s="91" t="s">
        <v>85</v>
      </c>
      <c r="G140" s="83"/>
      <c r="H140" s="83">
        <v>0</v>
      </c>
      <c r="I140" s="83">
        <v>0</v>
      </c>
      <c r="J140" s="83">
        <v>0</v>
      </c>
      <c r="K140" s="83">
        <v>0</v>
      </c>
      <c r="L140" s="83">
        <v>0</v>
      </c>
      <c r="M140" s="83">
        <f>VLOOKUP(F140,'Прайс Лазер'!$L$3:$M$9,2,0)</f>
        <v>94</v>
      </c>
      <c r="N140" s="83">
        <v>25</v>
      </c>
      <c r="O140" s="90">
        <f>VLOOKUP(E140,'Прайс Лазер'!$I$4:$J$21,2,0)</f>
        <v>1.1499999999999999</v>
      </c>
      <c r="P140" s="83">
        <f>HLOOKUP('Оценка лазера'!$E140,'Прайс Лазер'!$C$26:$T$34,1+VLOOKUP(F140,'Прайс Лазер'!$A$26:$B$34,2,0),0)</f>
        <v>21.849999999999998</v>
      </c>
      <c r="Q140" s="83">
        <f t="shared" si="20"/>
        <v>0</v>
      </c>
      <c r="R140" s="83">
        <f t="shared" si="21"/>
        <v>0</v>
      </c>
      <c r="S140" s="83">
        <f t="shared" si="22"/>
        <v>0</v>
      </c>
      <c r="T140" s="83">
        <f t="shared" si="24"/>
        <v>0</v>
      </c>
      <c r="U140" s="83">
        <f t="shared" si="23"/>
        <v>0</v>
      </c>
      <c r="V140" s="94">
        <f t="shared" si="25"/>
        <v>0</v>
      </c>
    </row>
    <row r="141" spans="1:22" ht="15">
      <c r="A141" s="93">
        <f t="shared" si="26"/>
        <v>139</v>
      </c>
      <c r="B141" s="83"/>
      <c r="C141" s="83"/>
      <c r="D141" s="83"/>
      <c r="E141" s="83">
        <v>1</v>
      </c>
      <c r="F141" s="91" t="s">
        <v>85</v>
      </c>
      <c r="G141" s="83"/>
      <c r="H141" s="83">
        <v>0</v>
      </c>
      <c r="I141" s="83">
        <v>0</v>
      </c>
      <c r="J141" s="83">
        <v>0</v>
      </c>
      <c r="K141" s="83">
        <v>0</v>
      </c>
      <c r="L141" s="83">
        <v>0</v>
      </c>
      <c r="M141" s="83">
        <f>VLOOKUP(F141,'Прайс Лазер'!$L$3:$M$9,2,0)</f>
        <v>94</v>
      </c>
      <c r="N141" s="83">
        <v>25</v>
      </c>
      <c r="O141" s="90">
        <f>VLOOKUP(E141,'Прайс Лазер'!$I$4:$J$21,2,0)</f>
        <v>1.1499999999999999</v>
      </c>
      <c r="P141" s="83">
        <f>HLOOKUP('Оценка лазера'!$E141,'Прайс Лазер'!$C$26:$T$34,1+VLOOKUP(F141,'Прайс Лазер'!$A$26:$B$34,2,0),0)</f>
        <v>21.849999999999998</v>
      </c>
      <c r="Q141" s="83">
        <f t="shared" si="20"/>
        <v>0</v>
      </c>
      <c r="R141" s="83">
        <f t="shared" si="21"/>
        <v>0</v>
      </c>
      <c r="S141" s="83">
        <f t="shared" si="22"/>
        <v>0</v>
      </c>
      <c r="T141" s="83">
        <f t="shared" si="24"/>
        <v>0</v>
      </c>
      <c r="U141" s="83">
        <f t="shared" si="23"/>
        <v>0</v>
      </c>
      <c r="V141" s="94">
        <f t="shared" si="25"/>
        <v>0</v>
      </c>
    </row>
    <row r="142" spans="1:22" ht="15">
      <c r="A142" s="93">
        <f t="shared" si="26"/>
        <v>140</v>
      </c>
      <c r="B142" s="83"/>
      <c r="C142" s="83"/>
      <c r="D142" s="83"/>
      <c r="E142" s="83">
        <v>1</v>
      </c>
      <c r="F142" s="91" t="s">
        <v>85</v>
      </c>
      <c r="G142" s="83"/>
      <c r="H142" s="83">
        <v>0</v>
      </c>
      <c r="I142" s="83">
        <v>0</v>
      </c>
      <c r="J142" s="83">
        <v>0</v>
      </c>
      <c r="K142" s="83">
        <v>0</v>
      </c>
      <c r="L142" s="83">
        <v>0</v>
      </c>
      <c r="M142" s="83">
        <f>VLOOKUP(F142,'Прайс Лазер'!$L$3:$M$9,2,0)</f>
        <v>94</v>
      </c>
      <c r="N142" s="83">
        <v>25</v>
      </c>
      <c r="O142" s="90">
        <f>VLOOKUP(E142,'Прайс Лазер'!$I$4:$J$21,2,0)</f>
        <v>1.1499999999999999</v>
      </c>
      <c r="P142" s="83">
        <f>HLOOKUP('Оценка лазера'!$E142,'Прайс Лазер'!$C$26:$T$34,1+VLOOKUP(F142,'Прайс Лазер'!$A$26:$B$34,2,0),0)</f>
        <v>21.849999999999998</v>
      </c>
      <c r="Q142" s="83">
        <f t="shared" si="20"/>
        <v>0</v>
      </c>
      <c r="R142" s="83">
        <f t="shared" si="21"/>
        <v>0</v>
      </c>
      <c r="S142" s="83">
        <f t="shared" si="22"/>
        <v>0</v>
      </c>
      <c r="T142" s="83">
        <f t="shared" si="24"/>
        <v>0</v>
      </c>
      <c r="U142" s="83">
        <f t="shared" si="23"/>
        <v>0</v>
      </c>
      <c r="V142" s="94">
        <f t="shared" si="25"/>
        <v>0</v>
      </c>
    </row>
    <row r="143" spans="1:22" ht="15">
      <c r="A143" s="93">
        <f t="shared" si="26"/>
        <v>141</v>
      </c>
      <c r="B143" s="83"/>
      <c r="C143" s="83"/>
      <c r="D143" s="83"/>
      <c r="E143" s="83">
        <v>1</v>
      </c>
      <c r="F143" s="91" t="s">
        <v>85</v>
      </c>
      <c r="G143" s="83"/>
      <c r="H143" s="83">
        <v>0</v>
      </c>
      <c r="I143" s="83">
        <v>0</v>
      </c>
      <c r="J143" s="83">
        <v>0</v>
      </c>
      <c r="K143" s="83">
        <v>0</v>
      </c>
      <c r="L143" s="83">
        <v>0</v>
      </c>
      <c r="M143" s="83">
        <f>VLOOKUP(F143,'Прайс Лазер'!$L$3:$M$9,2,0)</f>
        <v>94</v>
      </c>
      <c r="N143" s="83">
        <v>25</v>
      </c>
      <c r="O143" s="90">
        <f>VLOOKUP(E143,'Прайс Лазер'!$I$4:$J$21,2,0)</f>
        <v>1.1499999999999999</v>
      </c>
      <c r="P143" s="83">
        <f>HLOOKUP('Оценка лазера'!$E143,'Прайс Лазер'!$C$26:$T$34,1+VLOOKUP(F143,'Прайс Лазер'!$A$26:$B$34,2,0),0)</f>
        <v>21.849999999999998</v>
      </c>
      <c r="Q143" s="83">
        <f t="shared" si="20"/>
        <v>0</v>
      </c>
      <c r="R143" s="83">
        <f t="shared" si="21"/>
        <v>0</v>
      </c>
      <c r="S143" s="83">
        <f t="shared" si="22"/>
        <v>0</v>
      </c>
      <c r="T143" s="83">
        <f t="shared" si="24"/>
        <v>0</v>
      </c>
      <c r="U143" s="83">
        <f t="shared" si="23"/>
        <v>0</v>
      </c>
      <c r="V143" s="94">
        <f t="shared" si="25"/>
        <v>0</v>
      </c>
    </row>
    <row r="144" spans="1:22" ht="15">
      <c r="A144" s="93">
        <f t="shared" si="26"/>
        <v>142</v>
      </c>
      <c r="B144" s="83"/>
      <c r="C144" s="83"/>
      <c r="D144" s="83"/>
      <c r="E144" s="83">
        <v>1</v>
      </c>
      <c r="F144" s="91" t="s">
        <v>85</v>
      </c>
      <c r="G144" s="83"/>
      <c r="H144" s="83">
        <v>0</v>
      </c>
      <c r="I144" s="83">
        <v>0</v>
      </c>
      <c r="J144" s="83">
        <v>0</v>
      </c>
      <c r="K144" s="83">
        <v>0</v>
      </c>
      <c r="L144" s="83">
        <v>0</v>
      </c>
      <c r="M144" s="83">
        <f>VLOOKUP(F144,'Прайс Лазер'!$L$3:$M$9,2,0)</f>
        <v>94</v>
      </c>
      <c r="N144" s="83">
        <v>25</v>
      </c>
      <c r="O144" s="90">
        <f>VLOOKUP(E144,'Прайс Лазер'!$I$4:$J$21,2,0)</f>
        <v>1.1499999999999999</v>
      </c>
      <c r="P144" s="83">
        <f>HLOOKUP('Оценка лазера'!$E144,'Прайс Лазер'!$C$26:$T$34,1+VLOOKUP(F144,'Прайс Лазер'!$A$26:$B$34,2,0),0)</f>
        <v>21.849999999999998</v>
      </c>
      <c r="Q144" s="83">
        <f t="shared" si="20"/>
        <v>0</v>
      </c>
      <c r="R144" s="83">
        <f t="shared" si="21"/>
        <v>0</v>
      </c>
      <c r="S144" s="83">
        <f t="shared" si="22"/>
        <v>0</v>
      </c>
      <c r="T144" s="83">
        <f t="shared" si="24"/>
        <v>0</v>
      </c>
      <c r="U144" s="83">
        <f t="shared" si="23"/>
        <v>0</v>
      </c>
      <c r="V144" s="94">
        <f t="shared" si="25"/>
        <v>0</v>
      </c>
    </row>
    <row r="145" spans="1:22" ht="15">
      <c r="A145" s="93">
        <f t="shared" si="26"/>
        <v>143</v>
      </c>
      <c r="B145" s="83"/>
      <c r="C145" s="83"/>
      <c r="D145" s="83"/>
      <c r="E145" s="83">
        <v>1</v>
      </c>
      <c r="F145" s="91" t="s">
        <v>85</v>
      </c>
      <c r="G145" s="83"/>
      <c r="H145" s="83">
        <v>0</v>
      </c>
      <c r="I145" s="83">
        <v>0</v>
      </c>
      <c r="J145" s="83">
        <v>0</v>
      </c>
      <c r="K145" s="83">
        <v>0</v>
      </c>
      <c r="L145" s="83">
        <v>0</v>
      </c>
      <c r="M145" s="83">
        <f>VLOOKUP(F145,'Прайс Лазер'!$L$3:$M$9,2,0)</f>
        <v>94</v>
      </c>
      <c r="N145" s="83">
        <v>25</v>
      </c>
      <c r="O145" s="90">
        <f>VLOOKUP(E145,'Прайс Лазер'!$I$4:$J$21,2,0)</f>
        <v>1.1499999999999999</v>
      </c>
      <c r="P145" s="83">
        <f>HLOOKUP('Оценка лазера'!$E145,'Прайс Лазер'!$C$26:$T$34,1+VLOOKUP(F145,'Прайс Лазер'!$A$26:$B$34,2,0),0)</f>
        <v>21.849999999999998</v>
      </c>
      <c r="Q145" s="83">
        <f t="shared" si="20"/>
        <v>0</v>
      </c>
      <c r="R145" s="83">
        <f t="shared" si="21"/>
        <v>0</v>
      </c>
      <c r="S145" s="83">
        <f t="shared" si="22"/>
        <v>0</v>
      </c>
      <c r="T145" s="83">
        <f t="shared" si="24"/>
        <v>0</v>
      </c>
      <c r="U145" s="83">
        <f t="shared" si="23"/>
        <v>0</v>
      </c>
      <c r="V145" s="94">
        <f t="shared" si="25"/>
        <v>0</v>
      </c>
    </row>
    <row r="146" spans="1:22" ht="15">
      <c r="A146" s="93">
        <f t="shared" si="26"/>
        <v>144</v>
      </c>
      <c r="B146" s="83"/>
      <c r="C146" s="83"/>
      <c r="D146" s="83"/>
      <c r="E146" s="83">
        <v>1</v>
      </c>
      <c r="F146" s="91" t="s">
        <v>85</v>
      </c>
      <c r="G146" s="83"/>
      <c r="H146" s="83">
        <v>0</v>
      </c>
      <c r="I146" s="83">
        <v>0</v>
      </c>
      <c r="J146" s="83">
        <v>0</v>
      </c>
      <c r="K146" s="83">
        <v>0</v>
      </c>
      <c r="L146" s="83">
        <v>0</v>
      </c>
      <c r="M146" s="83">
        <f>VLOOKUP(F146,'Прайс Лазер'!$L$3:$M$9,2,0)</f>
        <v>94</v>
      </c>
      <c r="N146" s="83">
        <v>25</v>
      </c>
      <c r="O146" s="90">
        <f>VLOOKUP(E146,'Прайс Лазер'!$I$4:$J$21,2,0)</f>
        <v>1.1499999999999999</v>
      </c>
      <c r="P146" s="83">
        <f>HLOOKUP('Оценка лазера'!$E146,'Прайс Лазер'!$C$26:$T$34,1+VLOOKUP(F146,'Прайс Лазер'!$A$26:$B$34,2,0),0)</f>
        <v>21.849999999999998</v>
      </c>
      <c r="Q146" s="83">
        <f t="shared" si="20"/>
        <v>0</v>
      </c>
      <c r="R146" s="83">
        <f t="shared" si="21"/>
        <v>0</v>
      </c>
      <c r="S146" s="83">
        <f t="shared" si="22"/>
        <v>0</v>
      </c>
      <c r="T146" s="83">
        <f t="shared" si="24"/>
        <v>0</v>
      </c>
      <c r="U146" s="83">
        <f t="shared" si="23"/>
        <v>0</v>
      </c>
      <c r="V146" s="94">
        <f t="shared" si="25"/>
        <v>0</v>
      </c>
    </row>
    <row r="147" spans="1:22" ht="15">
      <c r="A147" s="93">
        <f t="shared" si="26"/>
        <v>145</v>
      </c>
      <c r="B147" s="83"/>
      <c r="C147" s="83"/>
      <c r="D147" s="83"/>
      <c r="E147" s="83">
        <v>1</v>
      </c>
      <c r="F147" s="91" t="s">
        <v>85</v>
      </c>
      <c r="G147" s="83"/>
      <c r="H147" s="83">
        <v>0</v>
      </c>
      <c r="I147" s="83">
        <v>0</v>
      </c>
      <c r="J147" s="83">
        <v>0</v>
      </c>
      <c r="K147" s="83">
        <v>0</v>
      </c>
      <c r="L147" s="83">
        <v>0</v>
      </c>
      <c r="M147" s="83">
        <f>VLOOKUP(F147,'Прайс Лазер'!$L$3:$M$9,2,0)</f>
        <v>94</v>
      </c>
      <c r="N147" s="83">
        <v>25</v>
      </c>
      <c r="O147" s="90">
        <f>VLOOKUP(E147,'Прайс Лазер'!$I$4:$J$21,2,0)</f>
        <v>1.1499999999999999</v>
      </c>
      <c r="P147" s="83">
        <f>HLOOKUP('Оценка лазера'!$E147,'Прайс Лазер'!$C$26:$T$34,1+VLOOKUP(F147,'Прайс Лазер'!$A$26:$B$34,2,0),0)</f>
        <v>21.849999999999998</v>
      </c>
      <c r="Q147" s="83">
        <f t="shared" si="20"/>
        <v>0</v>
      </c>
      <c r="R147" s="83">
        <f t="shared" si="21"/>
        <v>0</v>
      </c>
      <c r="S147" s="83">
        <f t="shared" si="22"/>
        <v>0</v>
      </c>
      <c r="T147" s="83">
        <f t="shared" si="24"/>
        <v>0</v>
      </c>
      <c r="U147" s="83">
        <f t="shared" si="23"/>
        <v>0</v>
      </c>
      <c r="V147" s="94">
        <f t="shared" si="25"/>
        <v>0</v>
      </c>
    </row>
    <row r="148" spans="1:22" ht="15">
      <c r="A148" s="93">
        <f t="shared" si="26"/>
        <v>146</v>
      </c>
      <c r="B148" s="83"/>
      <c r="C148" s="83"/>
      <c r="D148" s="83"/>
      <c r="E148" s="83">
        <v>1</v>
      </c>
      <c r="F148" s="91" t="s">
        <v>85</v>
      </c>
      <c r="G148" s="83"/>
      <c r="H148" s="83">
        <v>0</v>
      </c>
      <c r="I148" s="83">
        <v>0</v>
      </c>
      <c r="J148" s="83">
        <v>0</v>
      </c>
      <c r="K148" s="83">
        <v>0</v>
      </c>
      <c r="L148" s="83">
        <v>0</v>
      </c>
      <c r="M148" s="83">
        <f>VLOOKUP(F148,'Прайс Лазер'!$L$3:$M$9,2,0)</f>
        <v>94</v>
      </c>
      <c r="N148" s="83">
        <v>25</v>
      </c>
      <c r="O148" s="90">
        <f>VLOOKUP(E148,'Прайс Лазер'!$I$4:$J$21,2,0)</f>
        <v>1.1499999999999999</v>
      </c>
      <c r="P148" s="83">
        <f>HLOOKUP('Оценка лазера'!$E148,'Прайс Лазер'!$C$26:$T$34,1+VLOOKUP(F148,'Прайс Лазер'!$A$26:$B$34,2,0),0)</f>
        <v>21.849999999999998</v>
      </c>
      <c r="Q148" s="83">
        <f t="shared" si="20"/>
        <v>0</v>
      </c>
      <c r="R148" s="83">
        <f t="shared" si="21"/>
        <v>0</v>
      </c>
      <c r="S148" s="83">
        <f t="shared" si="22"/>
        <v>0</v>
      </c>
      <c r="T148" s="83">
        <f t="shared" si="24"/>
        <v>0</v>
      </c>
      <c r="U148" s="83">
        <f t="shared" si="23"/>
        <v>0</v>
      </c>
      <c r="V148" s="94">
        <f t="shared" si="25"/>
        <v>0</v>
      </c>
    </row>
    <row r="149" spans="1:22" ht="15">
      <c r="A149" s="93">
        <f t="shared" si="26"/>
        <v>147</v>
      </c>
      <c r="B149" s="83"/>
      <c r="C149" s="83"/>
      <c r="D149" s="83"/>
      <c r="E149" s="83">
        <v>1</v>
      </c>
      <c r="F149" s="91" t="s">
        <v>85</v>
      </c>
      <c r="G149" s="83"/>
      <c r="H149" s="83">
        <v>0</v>
      </c>
      <c r="I149" s="83">
        <v>0</v>
      </c>
      <c r="J149" s="83">
        <v>0</v>
      </c>
      <c r="K149" s="83">
        <v>0</v>
      </c>
      <c r="L149" s="83">
        <v>0</v>
      </c>
      <c r="M149" s="83">
        <f>VLOOKUP(F149,'Прайс Лазер'!$L$3:$M$9,2,0)</f>
        <v>94</v>
      </c>
      <c r="N149" s="83">
        <v>25</v>
      </c>
      <c r="O149" s="90">
        <f>VLOOKUP(E149,'Прайс Лазер'!$I$4:$J$21,2,0)</f>
        <v>1.1499999999999999</v>
      </c>
      <c r="P149" s="83">
        <f>HLOOKUP('Оценка лазера'!$E149,'Прайс Лазер'!$C$26:$T$34,1+VLOOKUP(F149,'Прайс Лазер'!$A$26:$B$34,2,0),0)</f>
        <v>21.849999999999998</v>
      </c>
      <c r="Q149" s="83">
        <f t="shared" si="20"/>
        <v>0</v>
      </c>
      <c r="R149" s="83">
        <f t="shared" si="21"/>
        <v>0</v>
      </c>
      <c r="S149" s="83">
        <f t="shared" si="22"/>
        <v>0</v>
      </c>
      <c r="T149" s="83">
        <f t="shared" si="24"/>
        <v>0</v>
      </c>
      <c r="U149" s="83">
        <f t="shared" si="23"/>
        <v>0</v>
      </c>
      <c r="V149" s="94">
        <f t="shared" si="25"/>
        <v>0</v>
      </c>
    </row>
    <row r="150" spans="1:22" ht="15">
      <c r="A150" s="93">
        <f t="shared" si="26"/>
        <v>148</v>
      </c>
      <c r="B150" s="83"/>
      <c r="C150" s="83"/>
      <c r="D150" s="83"/>
      <c r="E150" s="83">
        <v>1</v>
      </c>
      <c r="F150" s="91" t="s">
        <v>85</v>
      </c>
      <c r="G150" s="83"/>
      <c r="H150" s="83">
        <v>0</v>
      </c>
      <c r="I150" s="83">
        <v>0</v>
      </c>
      <c r="J150" s="83">
        <v>0</v>
      </c>
      <c r="K150" s="83">
        <v>0</v>
      </c>
      <c r="L150" s="83">
        <v>0</v>
      </c>
      <c r="M150" s="83">
        <f>VLOOKUP(F150,'Прайс Лазер'!$L$3:$M$9,2,0)</f>
        <v>94</v>
      </c>
      <c r="N150" s="83">
        <v>25</v>
      </c>
      <c r="O150" s="90">
        <f>VLOOKUP(E150,'Прайс Лазер'!$I$4:$J$21,2,0)</f>
        <v>1.1499999999999999</v>
      </c>
      <c r="P150" s="83">
        <f>HLOOKUP('Оценка лазера'!$E150,'Прайс Лазер'!$C$26:$T$34,1+VLOOKUP(F150,'Прайс Лазер'!$A$26:$B$34,2,0),0)</f>
        <v>21.849999999999998</v>
      </c>
      <c r="Q150" s="83">
        <f t="shared" si="20"/>
        <v>0</v>
      </c>
      <c r="R150" s="83">
        <f t="shared" si="21"/>
        <v>0</v>
      </c>
      <c r="S150" s="83">
        <f t="shared" si="22"/>
        <v>0</v>
      </c>
      <c r="T150" s="83">
        <f t="shared" si="24"/>
        <v>0</v>
      </c>
      <c r="U150" s="83">
        <f t="shared" si="23"/>
        <v>0</v>
      </c>
      <c r="V150" s="94">
        <f t="shared" si="25"/>
        <v>0</v>
      </c>
    </row>
    <row r="151" spans="1:22" ht="15">
      <c r="A151" s="93">
        <f t="shared" si="26"/>
        <v>149</v>
      </c>
      <c r="B151" s="83"/>
      <c r="C151" s="83"/>
      <c r="D151" s="83"/>
      <c r="E151" s="83">
        <v>1</v>
      </c>
      <c r="F151" s="91" t="s">
        <v>85</v>
      </c>
      <c r="G151" s="83"/>
      <c r="H151" s="83">
        <v>0</v>
      </c>
      <c r="I151" s="83">
        <v>0</v>
      </c>
      <c r="J151" s="83">
        <v>0</v>
      </c>
      <c r="K151" s="83">
        <v>0</v>
      </c>
      <c r="L151" s="83">
        <v>0</v>
      </c>
      <c r="M151" s="83">
        <f>VLOOKUP(F151,'Прайс Лазер'!$L$3:$M$9,2,0)</f>
        <v>94</v>
      </c>
      <c r="N151" s="83">
        <v>25</v>
      </c>
      <c r="O151" s="90">
        <f>VLOOKUP(E151,'Прайс Лазер'!$I$4:$J$21,2,0)</f>
        <v>1.1499999999999999</v>
      </c>
      <c r="P151" s="83">
        <f>HLOOKUP('Оценка лазера'!$E151,'Прайс Лазер'!$C$26:$T$34,1+VLOOKUP(F151,'Прайс Лазер'!$A$26:$B$34,2,0),0)</f>
        <v>21.849999999999998</v>
      </c>
      <c r="Q151" s="83">
        <f t="shared" si="20"/>
        <v>0</v>
      </c>
      <c r="R151" s="83">
        <f t="shared" si="21"/>
        <v>0</v>
      </c>
      <c r="S151" s="83">
        <f t="shared" si="22"/>
        <v>0</v>
      </c>
      <c r="T151" s="83">
        <f t="shared" si="24"/>
        <v>0</v>
      </c>
      <c r="U151" s="83">
        <f t="shared" si="23"/>
        <v>0</v>
      </c>
      <c r="V151" s="94">
        <f t="shared" si="25"/>
        <v>0</v>
      </c>
    </row>
    <row r="152" spans="1:22" ht="15">
      <c r="A152" s="93">
        <f t="shared" si="26"/>
        <v>150</v>
      </c>
      <c r="B152" s="83"/>
      <c r="C152" s="83"/>
      <c r="D152" s="83"/>
      <c r="E152" s="83">
        <v>1</v>
      </c>
      <c r="F152" s="91" t="s">
        <v>85</v>
      </c>
      <c r="G152" s="83"/>
      <c r="H152" s="83">
        <v>0</v>
      </c>
      <c r="I152" s="83">
        <v>0</v>
      </c>
      <c r="J152" s="83">
        <v>0</v>
      </c>
      <c r="K152" s="83">
        <v>0</v>
      </c>
      <c r="L152" s="83">
        <v>0</v>
      </c>
      <c r="M152" s="83">
        <f>VLOOKUP(F152,'Прайс Лазер'!$L$3:$M$9,2,0)</f>
        <v>94</v>
      </c>
      <c r="N152" s="83">
        <v>25</v>
      </c>
      <c r="O152" s="90">
        <f>VLOOKUP(E152,'Прайс Лазер'!$I$4:$J$21,2,0)</f>
        <v>1.1499999999999999</v>
      </c>
      <c r="P152" s="83">
        <f>HLOOKUP('Оценка лазера'!$E152,'Прайс Лазер'!$C$26:$T$34,1+VLOOKUP(F152,'Прайс Лазер'!$A$26:$B$34,2,0),0)</f>
        <v>21.849999999999998</v>
      </c>
      <c r="Q152" s="83">
        <f t="shared" si="20"/>
        <v>0</v>
      </c>
      <c r="R152" s="83">
        <f t="shared" si="21"/>
        <v>0</v>
      </c>
      <c r="S152" s="83">
        <f t="shared" si="22"/>
        <v>0</v>
      </c>
      <c r="T152" s="83">
        <f t="shared" si="24"/>
        <v>0</v>
      </c>
      <c r="U152" s="83">
        <f t="shared" si="23"/>
        <v>0</v>
      </c>
      <c r="V152" s="94">
        <f t="shared" si="25"/>
        <v>0</v>
      </c>
    </row>
    <row r="153" spans="1:22" ht="15">
      <c r="A153" s="93">
        <f t="shared" si="26"/>
        <v>151</v>
      </c>
      <c r="B153" s="83"/>
      <c r="C153" s="83"/>
      <c r="D153" s="83"/>
      <c r="E153" s="83">
        <v>1</v>
      </c>
      <c r="F153" s="91" t="s">
        <v>85</v>
      </c>
      <c r="G153" s="83"/>
      <c r="H153" s="83">
        <v>0</v>
      </c>
      <c r="I153" s="83">
        <v>0</v>
      </c>
      <c r="J153" s="83">
        <v>0</v>
      </c>
      <c r="K153" s="83">
        <v>0</v>
      </c>
      <c r="L153" s="83">
        <v>0</v>
      </c>
      <c r="M153" s="83">
        <f>VLOOKUP(F153,'Прайс Лазер'!$L$3:$M$9,2,0)</f>
        <v>94</v>
      </c>
      <c r="N153" s="83">
        <v>25</v>
      </c>
      <c r="O153" s="90">
        <f>VLOOKUP(E153,'Прайс Лазер'!$I$4:$J$21,2,0)</f>
        <v>1.1499999999999999</v>
      </c>
      <c r="P153" s="83">
        <f>HLOOKUP('Оценка лазера'!$E153,'Прайс Лазер'!$C$26:$T$34,1+VLOOKUP(F153,'Прайс Лазер'!$A$26:$B$34,2,0),0)</f>
        <v>21.849999999999998</v>
      </c>
      <c r="Q153" s="83">
        <f t="shared" si="20"/>
        <v>0</v>
      </c>
      <c r="R153" s="83">
        <f t="shared" si="21"/>
        <v>0</v>
      </c>
      <c r="S153" s="83">
        <f t="shared" si="22"/>
        <v>0</v>
      </c>
      <c r="T153" s="83">
        <f t="shared" si="24"/>
        <v>0</v>
      </c>
      <c r="U153" s="83">
        <f t="shared" si="23"/>
        <v>0</v>
      </c>
      <c r="V153" s="94">
        <f t="shared" si="25"/>
        <v>0</v>
      </c>
    </row>
    <row r="154" spans="1:22" ht="15">
      <c r="A154" s="93">
        <f t="shared" si="26"/>
        <v>152</v>
      </c>
      <c r="B154" s="83"/>
      <c r="C154" s="83"/>
      <c r="D154" s="83"/>
      <c r="E154" s="83">
        <v>1</v>
      </c>
      <c r="F154" s="91" t="s">
        <v>85</v>
      </c>
      <c r="G154" s="83"/>
      <c r="H154" s="83">
        <v>0</v>
      </c>
      <c r="I154" s="83">
        <v>0</v>
      </c>
      <c r="J154" s="83">
        <v>0</v>
      </c>
      <c r="K154" s="83">
        <v>0</v>
      </c>
      <c r="L154" s="83">
        <v>0</v>
      </c>
      <c r="M154" s="83">
        <f>VLOOKUP(F154,'Прайс Лазер'!$L$3:$M$9,2,0)</f>
        <v>94</v>
      </c>
      <c r="N154" s="83">
        <v>25</v>
      </c>
      <c r="O154" s="90">
        <f>VLOOKUP(E154,'Прайс Лазер'!$I$4:$J$21,2,0)</f>
        <v>1.1499999999999999</v>
      </c>
      <c r="P154" s="83">
        <f>HLOOKUP('Оценка лазера'!$E154,'Прайс Лазер'!$C$26:$T$34,1+VLOOKUP(F154,'Прайс Лазер'!$A$26:$B$34,2,0),0)</f>
        <v>21.849999999999998</v>
      </c>
      <c r="Q154" s="83">
        <f t="shared" si="20"/>
        <v>0</v>
      </c>
      <c r="R154" s="83">
        <f t="shared" si="21"/>
        <v>0</v>
      </c>
      <c r="S154" s="83">
        <f t="shared" si="22"/>
        <v>0</v>
      </c>
      <c r="T154" s="83">
        <f t="shared" si="24"/>
        <v>0</v>
      </c>
      <c r="U154" s="83">
        <f t="shared" si="23"/>
        <v>0</v>
      </c>
      <c r="V154" s="94">
        <f t="shared" si="25"/>
        <v>0</v>
      </c>
    </row>
    <row r="155" spans="1:22" ht="15">
      <c r="A155" s="93">
        <f t="shared" si="26"/>
        <v>153</v>
      </c>
      <c r="B155" s="83"/>
      <c r="C155" s="83"/>
      <c r="D155" s="83"/>
      <c r="E155" s="83">
        <v>1</v>
      </c>
      <c r="F155" s="91" t="s">
        <v>85</v>
      </c>
      <c r="G155" s="83"/>
      <c r="H155" s="83">
        <v>0</v>
      </c>
      <c r="I155" s="83">
        <v>0</v>
      </c>
      <c r="J155" s="83">
        <v>0</v>
      </c>
      <c r="K155" s="83">
        <v>0</v>
      </c>
      <c r="L155" s="83">
        <v>0</v>
      </c>
      <c r="M155" s="83">
        <f>VLOOKUP(F155,'Прайс Лазер'!$L$3:$M$9,2,0)</f>
        <v>94</v>
      </c>
      <c r="N155" s="83">
        <v>25</v>
      </c>
      <c r="O155" s="90">
        <f>VLOOKUP(E155,'Прайс Лазер'!$I$4:$J$21,2,0)</f>
        <v>1.1499999999999999</v>
      </c>
      <c r="P155" s="83">
        <f>HLOOKUP('Оценка лазера'!$E155,'Прайс Лазер'!$C$26:$T$34,1+VLOOKUP(F155,'Прайс Лазер'!$A$26:$B$34,2,0),0)</f>
        <v>21.849999999999998</v>
      </c>
      <c r="Q155" s="83">
        <f t="shared" si="20"/>
        <v>0</v>
      </c>
      <c r="R155" s="83">
        <f t="shared" si="21"/>
        <v>0</v>
      </c>
      <c r="S155" s="83">
        <f t="shared" si="22"/>
        <v>0</v>
      </c>
      <c r="T155" s="83">
        <f t="shared" si="24"/>
        <v>0</v>
      </c>
      <c r="U155" s="83">
        <f t="shared" si="23"/>
        <v>0</v>
      </c>
      <c r="V155" s="94">
        <f t="shared" si="25"/>
        <v>0</v>
      </c>
    </row>
    <row r="156" spans="1:22" ht="15">
      <c r="A156" s="93">
        <f t="shared" si="26"/>
        <v>154</v>
      </c>
      <c r="B156" s="83"/>
      <c r="C156" s="83"/>
      <c r="D156" s="83"/>
      <c r="E156" s="83">
        <v>1</v>
      </c>
      <c r="F156" s="91" t="s">
        <v>85</v>
      </c>
      <c r="G156" s="83"/>
      <c r="H156" s="83">
        <v>0</v>
      </c>
      <c r="I156" s="83">
        <v>0</v>
      </c>
      <c r="J156" s="83">
        <v>0</v>
      </c>
      <c r="K156" s="83">
        <v>0</v>
      </c>
      <c r="L156" s="83">
        <v>0</v>
      </c>
      <c r="M156" s="83">
        <f>VLOOKUP(F156,'Прайс Лазер'!$L$3:$M$9,2,0)</f>
        <v>94</v>
      </c>
      <c r="N156" s="83">
        <v>25</v>
      </c>
      <c r="O156" s="90">
        <f>VLOOKUP(E156,'Прайс Лазер'!$I$4:$J$21,2,0)</f>
        <v>1.1499999999999999</v>
      </c>
      <c r="P156" s="83">
        <f>HLOOKUP('Оценка лазера'!$E156,'Прайс Лазер'!$C$26:$T$34,1+VLOOKUP(F156,'Прайс Лазер'!$A$26:$B$34,2,0),0)</f>
        <v>21.849999999999998</v>
      </c>
      <c r="Q156" s="83">
        <f t="shared" si="20"/>
        <v>0</v>
      </c>
      <c r="R156" s="83">
        <f t="shared" si="21"/>
        <v>0</v>
      </c>
      <c r="S156" s="83">
        <f t="shared" si="22"/>
        <v>0</v>
      </c>
      <c r="T156" s="83">
        <f t="shared" si="24"/>
        <v>0</v>
      </c>
      <c r="U156" s="83">
        <f t="shared" si="23"/>
        <v>0</v>
      </c>
      <c r="V156" s="94">
        <f t="shared" si="25"/>
        <v>0</v>
      </c>
    </row>
    <row r="157" spans="1:22" ht="15">
      <c r="A157" s="93">
        <f t="shared" si="26"/>
        <v>155</v>
      </c>
      <c r="B157" s="83"/>
      <c r="C157" s="83"/>
      <c r="D157" s="83"/>
      <c r="E157" s="83">
        <v>1</v>
      </c>
      <c r="F157" s="91" t="s">
        <v>85</v>
      </c>
      <c r="G157" s="83"/>
      <c r="H157" s="83">
        <v>0</v>
      </c>
      <c r="I157" s="83">
        <v>0</v>
      </c>
      <c r="J157" s="83">
        <v>0</v>
      </c>
      <c r="K157" s="83">
        <v>0</v>
      </c>
      <c r="L157" s="83">
        <v>0</v>
      </c>
      <c r="M157" s="83">
        <f>VLOOKUP(F157,'Прайс Лазер'!$L$3:$M$9,2,0)</f>
        <v>94</v>
      </c>
      <c r="N157" s="83">
        <v>25</v>
      </c>
      <c r="O157" s="90">
        <f>VLOOKUP(E157,'Прайс Лазер'!$I$4:$J$21,2,0)</f>
        <v>1.1499999999999999</v>
      </c>
      <c r="P157" s="83">
        <f>HLOOKUP('Оценка лазера'!$E157,'Прайс Лазер'!$C$26:$T$34,1+VLOOKUP(F157,'Прайс Лазер'!$A$26:$B$34,2,0),0)</f>
        <v>21.849999999999998</v>
      </c>
      <c r="Q157" s="83">
        <f t="shared" si="20"/>
        <v>0</v>
      </c>
      <c r="R157" s="83">
        <f t="shared" si="21"/>
        <v>0</v>
      </c>
      <c r="S157" s="83">
        <f t="shared" si="22"/>
        <v>0</v>
      </c>
      <c r="T157" s="83">
        <f t="shared" si="24"/>
        <v>0</v>
      </c>
      <c r="U157" s="83">
        <f t="shared" si="23"/>
        <v>0</v>
      </c>
      <c r="V157" s="94">
        <f t="shared" si="25"/>
        <v>0</v>
      </c>
    </row>
    <row r="158" spans="1:22" ht="15">
      <c r="A158" s="93">
        <f t="shared" si="26"/>
        <v>156</v>
      </c>
      <c r="B158" s="83"/>
      <c r="C158" s="83"/>
      <c r="D158" s="83"/>
      <c r="E158" s="83">
        <v>1</v>
      </c>
      <c r="F158" s="91" t="s">
        <v>85</v>
      </c>
      <c r="G158" s="83"/>
      <c r="H158" s="83">
        <v>0</v>
      </c>
      <c r="I158" s="83">
        <v>0</v>
      </c>
      <c r="J158" s="83">
        <v>0</v>
      </c>
      <c r="K158" s="83">
        <v>0</v>
      </c>
      <c r="L158" s="83">
        <v>0</v>
      </c>
      <c r="M158" s="83">
        <f>VLOOKUP(F158,'Прайс Лазер'!$L$3:$M$9,2,0)</f>
        <v>94</v>
      </c>
      <c r="N158" s="83">
        <v>25</v>
      </c>
      <c r="O158" s="90">
        <f>VLOOKUP(E158,'Прайс Лазер'!$I$4:$J$21,2,0)</f>
        <v>1.1499999999999999</v>
      </c>
      <c r="P158" s="83">
        <f>HLOOKUP('Оценка лазера'!$E158,'Прайс Лазер'!$C$26:$T$34,1+VLOOKUP(F158,'Прайс Лазер'!$A$26:$B$34,2,0),0)</f>
        <v>21.849999999999998</v>
      </c>
      <c r="Q158" s="83">
        <f t="shared" si="20"/>
        <v>0</v>
      </c>
      <c r="R158" s="83">
        <f t="shared" si="21"/>
        <v>0</v>
      </c>
      <c r="S158" s="83">
        <f t="shared" si="22"/>
        <v>0</v>
      </c>
      <c r="T158" s="83">
        <f t="shared" si="24"/>
        <v>0</v>
      </c>
      <c r="U158" s="83">
        <f t="shared" si="23"/>
        <v>0</v>
      </c>
      <c r="V158" s="94">
        <f t="shared" si="25"/>
        <v>0</v>
      </c>
    </row>
    <row r="159" spans="1:22" ht="15">
      <c r="A159" s="93">
        <f t="shared" si="26"/>
        <v>157</v>
      </c>
      <c r="B159" s="83"/>
      <c r="C159" s="83"/>
      <c r="D159" s="83"/>
      <c r="E159" s="83">
        <v>1</v>
      </c>
      <c r="F159" s="91" t="s">
        <v>85</v>
      </c>
      <c r="G159" s="83"/>
      <c r="H159" s="83">
        <v>0</v>
      </c>
      <c r="I159" s="83">
        <v>0</v>
      </c>
      <c r="J159" s="83">
        <v>0</v>
      </c>
      <c r="K159" s="83">
        <v>0</v>
      </c>
      <c r="L159" s="83">
        <v>0</v>
      </c>
      <c r="M159" s="83">
        <f>VLOOKUP(F159,'Прайс Лазер'!$L$3:$M$9,2,0)</f>
        <v>94</v>
      </c>
      <c r="N159" s="83">
        <v>25</v>
      </c>
      <c r="O159" s="90">
        <f>VLOOKUP(E159,'Прайс Лазер'!$I$4:$J$21,2,0)</f>
        <v>1.1499999999999999</v>
      </c>
      <c r="P159" s="83">
        <f>HLOOKUP('Оценка лазера'!$E159,'Прайс Лазер'!$C$26:$T$34,1+VLOOKUP(F159,'Прайс Лазер'!$A$26:$B$34,2,0),0)</f>
        <v>21.849999999999998</v>
      </c>
      <c r="Q159" s="83">
        <f t="shared" si="20"/>
        <v>0</v>
      </c>
      <c r="R159" s="83">
        <f t="shared" si="21"/>
        <v>0</v>
      </c>
      <c r="S159" s="83">
        <f t="shared" si="22"/>
        <v>0</v>
      </c>
      <c r="T159" s="83">
        <f t="shared" si="24"/>
        <v>0</v>
      </c>
      <c r="U159" s="83">
        <f t="shared" si="23"/>
        <v>0</v>
      </c>
      <c r="V159" s="94">
        <f t="shared" si="25"/>
        <v>0</v>
      </c>
    </row>
    <row r="160" spans="1:22" ht="15">
      <c r="A160" s="93">
        <f t="shared" si="26"/>
        <v>158</v>
      </c>
      <c r="B160" s="83"/>
      <c r="C160" s="83"/>
      <c r="D160" s="83"/>
      <c r="E160" s="83">
        <v>1</v>
      </c>
      <c r="F160" s="91" t="s">
        <v>85</v>
      </c>
      <c r="G160" s="83"/>
      <c r="H160" s="83">
        <v>0</v>
      </c>
      <c r="I160" s="83">
        <v>0</v>
      </c>
      <c r="J160" s="83">
        <v>0</v>
      </c>
      <c r="K160" s="83">
        <v>0</v>
      </c>
      <c r="L160" s="83">
        <v>0</v>
      </c>
      <c r="M160" s="83">
        <f>VLOOKUP(F160,'Прайс Лазер'!$L$3:$M$9,2,0)</f>
        <v>94</v>
      </c>
      <c r="N160" s="83">
        <v>25</v>
      </c>
      <c r="O160" s="90">
        <f>VLOOKUP(E160,'Прайс Лазер'!$I$4:$J$21,2,0)</f>
        <v>1.1499999999999999</v>
      </c>
      <c r="P160" s="83">
        <f>HLOOKUP('Оценка лазера'!$E160,'Прайс Лазер'!$C$26:$T$34,1+VLOOKUP(F160,'Прайс Лазер'!$A$26:$B$34,2,0),0)</f>
        <v>21.849999999999998</v>
      </c>
      <c r="Q160" s="83">
        <f t="shared" si="20"/>
        <v>0</v>
      </c>
      <c r="R160" s="83">
        <f t="shared" si="21"/>
        <v>0</v>
      </c>
      <c r="S160" s="83">
        <f t="shared" si="22"/>
        <v>0</v>
      </c>
      <c r="T160" s="83">
        <f t="shared" si="24"/>
        <v>0</v>
      </c>
      <c r="U160" s="83">
        <f t="shared" si="23"/>
        <v>0</v>
      </c>
      <c r="V160" s="94">
        <f t="shared" si="25"/>
        <v>0</v>
      </c>
    </row>
    <row r="161" spans="1:22" ht="15">
      <c r="A161" s="93">
        <f t="shared" si="26"/>
        <v>159</v>
      </c>
      <c r="B161" s="83"/>
      <c r="C161" s="83"/>
      <c r="D161" s="83"/>
      <c r="E161" s="83">
        <v>1</v>
      </c>
      <c r="F161" s="91" t="s">
        <v>85</v>
      </c>
      <c r="G161" s="83"/>
      <c r="H161" s="83">
        <v>0</v>
      </c>
      <c r="I161" s="83">
        <v>0</v>
      </c>
      <c r="J161" s="83">
        <v>0</v>
      </c>
      <c r="K161" s="83">
        <v>0</v>
      </c>
      <c r="L161" s="83">
        <v>0</v>
      </c>
      <c r="M161" s="83">
        <f>VLOOKUP(F161,'Прайс Лазер'!$L$3:$M$9,2,0)</f>
        <v>94</v>
      </c>
      <c r="N161" s="83">
        <v>25</v>
      </c>
      <c r="O161" s="90">
        <f>VLOOKUP(E161,'Прайс Лазер'!$I$4:$J$21,2,0)</f>
        <v>1.1499999999999999</v>
      </c>
      <c r="P161" s="83">
        <f>HLOOKUP('Оценка лазера'!$E161,'Прайс Лазер'!$C$26:$T$34,1+VLOOKUP(F161,'Прайс Лазер'!$A$26:$B$34,2,0),0)</f>
        <v>21.849999999999998</v>
      </c>
      <c r="Q161" s="83">
        <f t="shared" si="20"/>
        <v>0</v>
      </c>
      <c r="R161" s="83">
        <f t="shared" si="21"/>
        <v>0</v>
      </c>
      <c r="S161" s="83">
        <f t="shared" si="22"/>
        <v>0</v>
      </c>
      <c r="T161" s="83">
        <f t="shared" si="24"/>
        <v>0</v>
      </c>
      <c r="U161" s="83">
        <f t="shared" si="23"/>
        <v>0</v>
      </c>
      <c r="V161" s="94">
        <f t="shared" si="25"/>
        <v>0</v>
      </c>
    </row>
    <row r="162" spans="1:22" ht="15">
      <c r="A162" s="93">
        <f t="shared" si="26"/>
        <v>160</v>
      </c>
      <c r="B162" s="83"/>
      <c r="C162" s="83"/>
      <c r="D162" s="83"/>
      <c r="E162" s="83">
        <v>1</v>
      </c>
      <c r="F162" s="91" t="s">
        <v>85</v>
      </c>
      <c r="G162" s="83"/>
      <c r="H162" s="83">
        <v>0</v>
      </c>
      <c r="I162" s="83">
        <v>0</v>
      </c>
      <c r="J162" s="83">
        <v>0</v>
      </c>
      <c r="K162" s="83">
        <v>0</v>
      </c>
      <c r="L162" s="83">
        <v>0</v>
      </c>
      <c r="M162" s="83">
        <f>VLOOKUP(F162,'Прайс Лазер'!$L$3:$M$9,2,0)</f>
        <v>94</v>
      </c>
      <c r="N162" s="83">
        <v>25</v>
      </c>
      <c r="O162" s="90">
        <f>VLOOKUP(E162,'Прайс Лазер'!$I$4:$J$21,2,0)</f>
        <v>1.1499999999999999</v>
      </c>
      <c r="P162" s="83">
        <f>HLOOKUP('Оценка лазера'!$E162,'Прайс Лазер'!$C$26:$T$34,1+VLOOKUP(F162,'Прайс Лазер'!$A$26:$B$34,2,0),0)</f>
        <v>21.849999999999998</v>
      </c>
      <c r="Q162" s="83">
        <f t="shared" si="20"/>
        <v>0</v>
      </c>
      <c r="R162" s="83">
        <f t="shared" si="21"/>
        <v>0</v>
      </c>
      <c r="S162" s="83">
        <f t="shared" si="22"/>
        <v>0</v>
      </c>
      <c r="T162" s="83">
        <f t="shared" si="24"/>
        <v>0</v>
      </c>
      <c r="U162" s="83">
        <f t="shared" si="23"/>
        <v>0</v>
      </c>
      <c r="V162" s="94">
        <f t="shared" si="25"/>
        <v>0</v>
      </c>
    </row>
    <row r="163" spans="1:22" ht="15">
      <c r="A163" s="93">
        <f t="shared" si="26"/>
        <v>161</v>
      </c>
      <c r="B163" s="83"/>
      <c r="C163" s="83"/>
      <c r="D163" s="83"/>
      <c r="E163" s="83">
        <v>1</v>
      </c>
      <c r="F163" s="91" t="s">
        <v>85</v>
      </c>
      <c r="G163" s="83"/>
      <c r="H163" s="83">
        <v>0</v>
      </c>
      <c r="I163" s="83">
        <v>0</v>
      </c>
      <c r="J163" s="83">
        <v>0</v>
      </c>
      <c r="K163" s="83">
        <v>0</v>
      </c>
      <c r="L163" s="83">
        <v>0</v>
      </c>
      <c r="M163" s="83">
        <f>VLOOKUP(F163,'Прайс Лазер'!$L$3:$M$9,2,0)</f>
        <v>94</v>
      </c>
      <c r="N163" s="83">
        <v>25</v>
      </c>
      <c r="O163" s="90">
        <f>VLOOKUP(E163,'Прайс Лазер'!$I$4:$J$21,2,0)</f>
        <v>1.1499999999999999</v>
      </c>
      <c r="P163" s="83">
        <f>HLOOKUP('Оценка лазера'!$E163,'Прайс Лазер'!$C$26:$T$34,1+VLOOKUP(F163,'Прайс Лазер'!$A$26:$B$34,2,0),0)</f>
        <v>21.849999999999998</v>
      </c>
      <c r="Q163" s="83">
        <f t="shared" si="20"/>
        <v>0</v>
      </c>
      <c r="R163" s="83">
        <f t="shared" si="21"/>
        <v>0</v>
      </c>
      <c r="S163" s="83">
        <f t="shared" si="22"/>
        <v>0</v>
      </c>
      <c r="T163" s="83">
        <f t="shared" si="24"/>
        <v>0</v>
      </c>
      <c r="U163" s="83">
        <f t="shared" si="23"/>
        <v>0</v>
      </c>
      <c r="V163" s="94">
        <f t="shared" si="25"/>
        <v>0</v>
      </c>
    </row>
    <row r="164" spans="1:22" ht="15">
      <c r="A164" s="93">
        <f t="shared" si="26"/>
        <v>162</v>
      </c>
      <c r="B164" s="83"/>
      <c r="C164" s="83"/>
      <c r="D164" s="83"/>
      <c r="E164" s="83">
        <v>1</v>
      </c>
      <c r="F164" s="91" t="s">
        <v>85</v>
      </c>
      <c r="G164" s="83"/>
      <c r="H164" s="83">
        <v>0</v>
      </c>
      <c r="I164" s="83">
        <v>0</v>
      </c>
      <c r="J164" s="83">
        <v>0</v>
      </c>
      <c r="K164" s="83">
        <v>0</v>
      </c>
      <c r="L164" s="83">
        <v>0</v>
      </c>
      <c r="M164" s="83">
        <f>VLOOKUP(F164,'Прайс Лазер'!$L$3:$M$9,2,0)</f>
        <v>94</v>
      </c>
      <c r="N164" s="83">
        <v>25</v>
      </c>
      <c r="O164" s="90">
        <f>VLOOKUP(E164,'Прайс Лазер'!$I$4:$J$21,2,0)</f>
        <v>1.1499999999999999</v>
      </c>
      <c r="P164" s="83">
        <f>HLOOKUP('Оценка лазера'!$E164,'Прайс Лазер'!$C$26:$T$34,1+VLOOKUP(F164,'Прайс Лазер'!$A$26:$B$34,2,0),0)</f>
        <v>21.849999999999998</v>
      </c>
      <c r="Q164" s="83">
        <f t="shared" si="20"/>
        <v>0</v>
      </c>
      <c r="R164" s="83">
        <f t="shared" si="21"/>
        <v>0</v>
      </c>
      <c r="S164" s="83">
        <f t="shared" si="22"/>
        <v>0</v>
      </c>
      <c r="T164" s="83">
        <f t="shared" si="24"/>
        <v>0</v>
      </c>
      <c r="U164" s="83">
        <f t="shared" si="23"/>
        <v>0</v>
      </c>
      <c r="V164" s="94">
        <f t="shared" si="25"/>
        <v>0</v>
      </c>
    </row>
    <row r="165" spans="1:22" ht="15">
      <c r="A165" s="93">
        <f t="shared" si="26"/>
        <v>163</v>
      </c>
      <c r="B165" s="83"/>
      <c r="C165" s="83"/>
      <c r="D165" s="83"/>
      <c r="E165" s="83">
        <v>1</v>
      </c>
      <c r="F165" s="91" t="s">
        <v>85</v>
      </c>
      <c r="G165" s="83"/>
      <c r="H165" s="83">
        <v>0</v>
      </c>
      <c r="I165" s="83">
        <v>0</v>
      </c>
      <c r="J165" s="83">
        <v>0</v>
      </c>
      <c r="K165" s="83">
        <v>0</v>
      </c>
      <c r="L165" s="83">
        <v>0</v>
      </c>
      <c r="M165" s="83">
        <f>VLOOKUP(F165,'Прайс Лазер'!$L$3:$M$9,2,0)</f>
        <v>94</v>
      </c>
      <c r="N165" s="83">
        <v>25</v>
      </c>
      <c r="O165" s="90">
        <f>VLOOKUP(E165,'Прайс Лазер'!$I$4:$J$21,2,0)</f>
        <v>1.1499999999999999</v>
      </c>
      <c r="P165" s="83">
        <f>HLOOKUP('Оценка лазера'!$E165,'Прайс Лазер'!$C$26:$T$34,1+VLOOKUP(F165,'Прайс Лазер'!$A$26:$B$34,2,0),0)</f>
        <v>21.849999999999998</v>
      </c>
      <c r="Q165" s="83">
        <f t="shared" si="20"/>
        <v>0</v>
      </c>
      <c r="R165" s="83">
        <f t="shared" si="21"/>
        <v>0</v>
      </c>
      <c r="S165" s="83">
        <f t="shared" si="22"/>
        <v>0</v>
      </c>
      <c r="T165" s="83">
        <f t="shared" si="24"/>
        <v>0</v>
      </c>
      <c r="U165" s="83">
        <f t="shared" si="23"/>
        <v>0</v>
      </c>
      <c r="V165" s="94">
        <f t="shared" si="25"/>
        <v>0</v>
      </c>
    </row>
    <row r="166" spans="1:22" ht="15">
      <c r="A166" s="93">
        <f t="shared" si="26"/>
        <v>164</v>
      </c>
      <c r="B166" s="83"/>
      <c r="C166" s="83"/>
      <c r="D166" s="83"/>
      <c r="E166" s="83">
        <v>1</v>
      </c>
      <c r="F166" s="91" t="s">
        <v>85</v>
      </c>
      <c r="G166" s="83"/>
      <c r="H166" s="83">
        <v>0</v>
      </c>
      <c r="I166" s="83">
        <v>0</v>
      </c>
      <c r="J166" s="83">
        <v>0</v>
      </c>
      <c r="K166" s="83">
        <v>0</v>
      </c>
      <c r="L166" s="83">
        <v>0</v>
      </c>
      <c r="M166" s="83">
        <f>VLOOKUP(F166,'Прайс Лазер'!$L$3:$M$9,2,0)</f>
        <v>94</v>
      </c>
      <c r="N166" s="83">
        <v>25</v>
      </c>
      <c r="O166" s="90">
        <f>VLOOKUP(E166,'Прайс Лазер'!$I$4:$J$21,2,0)</f>
        <v>1.1499999999999999</v>
      </c>
      <c r="P166" s="83">
        <f>HLOOKUP('Оценка лазера'!$E166,'Прайс Лазер'!$C$26:$T$34,1+VLOOKUP(F166,'Прайс Лазер'!$A$26:$B$34,2,0),0)</f>
        <v>21.849999999999998</v>
      </c>
      <c r="Q166" s="83">
        <f t="shared" si="20"/>
        <v>0</v>
      </c>
      <c r="R166" s="83">
        <f t="shared" si="21"/>
        <v>0</v>
      </c>
      <c r="S166" s="83">
        <f t="shared" si="22"/>
        <v>0</v>
      </c>
      <c r="T166" s="83">
        <f t="shared" si="24"/>
        <v>0</v>
      </c>
      <c r="U166" s="83">
        <f t="shared" si="23"/>
        <v>0</v>
      </c>
      <c r="V166" s="94">
        <f t="shared" si="25"/>
        <v>0</v>
      </c>
    </row>
    <row r="167" spans="1:22" ht="15">
      <c r="A167" s="93">
        <f t="shared" si="26"/>
        <v>165</v>
      </c>
      <c r="B167" s="83"/>
      <c r="C167" s="83"/>
      <c r="D167" s="83"/>
      <c r="E167" s="83">
        <v>1</v>
      </c>
      <c r="F167" s="91" t="s">
        <v>85</v>
      </c>
      <c r="G167" s="83"/>
      <c r="H167" s="83">
        <v>0</v>
      </c>
      <c r="I167" s="83">
        <v>0</v>
      </c>
      <c r="J167" s="83">
        <v>0</v>
      </c>
      <c r="K167" s="83">
        <v>0</v>
      </c>
      <c r="L167" s="83">
        <v>0</v>
      </c>
      <c r="M167" s="83">
        <f>VLOOKUP(F167,'Прайс Лазер'!$L$3:$M$9,2,0)</f>
        <v>94</v>
      </c>
      <c r="N167" s="83">
        <v>25</v>
      </c>
      <c r="O167" s="90">
        <f>VLOOKUP(E167,'Прайс Лазер'!$I$4:$J$21,2,0)</f>
        <v>1.1499999999999999</v>
      </c>
      <c r="P167" s="83">
        <f>HLOOKUP('Оценка лазера'!$E167,'Прайс Лазер'!$C$26:$T$34,1+VLOOKUP(F167,'Прайс Лазер'!$A$26:$B$34,2,0),0)</f>
        <v>21.849999999999998</v>
      </c>
      <c r="Q167" s="83">
        <f t="shared" si="20"/>
        <v>0</v>
      </c>
      <c r="R167" s="83">
        <f t="shared" si="21"/>
        <v>0</v>
      </c>
      <c r="S167" s="83">
        <f t="shared" si="22"/>
        <v>0</v>
      </c>
      <c r="T167" s="83">
        <f t="shared" si="24"/>
        <v>0</v>
      </c>
      <c r="U167" s="83">
        <f t="shared" si="23"/>
        <v>0</v>
      </c>
      <c r="V167" s="94">
        <f t="shared" si="25"/>
        <v>0</v>
      </c>
    </row>
    <row r="168" spans="1:22" ht="15">
      <c r="A168" s="93">
        <f t="shared" si="26"/>
        <v>166</v>
      </c>
      <c r="B168" s="83"/>
      <c r="C168" s="83"/>
      <c r="D168" s="83"/>
      <c r="E168" s="83">
        <v>1</v>
      </c>
      <c r="F168" s="91" t="s">
        <v>85</v>
      </c>
      <c r="G168" s="83"/>
      <c r="H168" s="83">
        <v>0</v>
      </c>
      <c r="I168" s="83">
        <v>0</v>
      </c>
      <c r="J168" s="83">
        <v>0</v>
      </c>
      <c r="K168" s="83">
        <v>0</v>
      </c>
      <c r="L168" s="83">
        <v>0</v>
      </c>
      <c r="M168" s="83">
        <f>VLOOKUP(F168,'Прайс Лазер'!$L$3:$M$9,2,0)</f>
        <v>94</v>
      </c>
      <c r="N168" s="83">
        <v>25</v>
      </c>
      <c r="O168" s="90">
        <f>VLOOKUP(E168,'Прайс Лазер'!$I$4:$J$21,2,0)</f>
        <v>1.1499999999999999</v>
      </c>
      <c r="P168" s="83">
        <f>HLOOKUP('Оценка лазера'!$E168,'Прайс Лазер'!$C$26:$T$34,1+VLOOKUP(F168,'Прайс Лазер'!$A$26:$B$34,2,0),0)</f>
        <v>21.849999999999998</v>
      </c>
      <c r="Q168" s="83">
        <f t="shared" si="20"/>
        <v>0</v>
      </c>
      <c r="R168" s="83">
        <f t="shared" si="21"/>
        <v>0</v>
      </c>
      <c r="S168" s="83">
        <f t="shared" si="22"/>
        <v>0</v>
      </c>
      <c r="T168" s="83">
        <f t="shared" si="24"/>
        <v>0</v>
      </c>
      <c r="U168" s="83">
        <f t="shared" si="23"/>
        <v>0</v>
      </c>
      <c r="V168" s="94">
        <f t="shared" si="25"/>
        <v>0</v>
      </c>
    </row>
    <row r="169" spans="1:22" ht="15">
      <c r="A169" s="93">
        <f t="shared" si="26"/>
        <v>167</v>
      </c>
      <c r="B169" s="83"/>
      <c r="C169" s="83"/>
      <c r="D169" s="83"/>
      <c r="E169" s="83">
        <v>1</v>
      </c>
      <c r="F169" s="91" t="s">
        <v>85</v>
      </c>
      <c r="G169" s="83"/>
      <c r="H169" s="83">
        <v>0</v>
      </c>
      <c r="I169" s="83">
        <v>0</v>
      </c>
      <c r="J169" s="83">
        <v>0</v>
      </c>
      <c r="K169" s="83">
        <v>0</v>
      </c>
      <c r="L169" s="83">
        <v>0</v>
      </c>
      <c r="M169" s="83">
        <f>VLOOKUP(F169,'Прайс Лазер'!$L$3:$M$9,2,0)</f>
        <v>94</v>
      </c>
      <c r="N169" s="83">
        <v>25</v>
      </c>
      <c r="O169" s="90">
        <f>VLOOKUP(E169,'Прайс Лазер'!$I$4:$J$21,2,0)</f>
        <v>1.1499999999999999</v>
      </c>
      <c r="P169" s="83">
        <f>HLOOKUP('Оценка лазера'!$E169,'Прайс Лазер'!$C$26:$T$34,1+VLOOKUP(F169,'Прайс Лазер'!$A$26:$B$34,2,0),0)</f>
        <v>21.849999999999998</v>
      </c>
      <c r="Q169" s="83">
        <f t="shared" si="20"/>
        <v>0</v>
      </c>
      <c r="R169" s="83">
        <f t="shared" si="21"/>
        <v>0</v>
      </c>
      <c r="S169" s="83">
        <f t="shared" si="22"/>
        <v>0</v>
      </c>
      <c r="T169" s="83">
        <f t="shared" si="24"/>
        <v>0</v>
      </c>
      <c r="U169" s="83">
        <f t="shared" si="23"/>
        <v>0</v>
      </c>
      <c r="V169" s="94">
        <f t="shared" si="25"/>
        <v>0</v>
      </c>
    </row>
    <row r="170" spans="1:22" ht="15">
      <c r="A170" s="93">
        <f t="shared" si="26"/>
        <v>168</v>
      </c>
      <c r="B170" s="83"/>
      <c r="C170" s="83"/>
      <c r="D170" s="83"/>
      <c r="E170" s="83">
        <v>1</v>
      </c>
      <c r="F170" s="91" t="s">
        <v>85</v>
      </c>
      <c r="G170" s="83"/>
      <c r="H170" s="83">
        <v>0</v>
      </c>
      <c r="I170" s="83">
        <v>0</v>
      </c>
      <c r="J170" s="83">
        <v>0</v>
      </c>
      <c r="K170" s="83">
        <v>0</v>
      </c>
      <c r="L170" s="83">
        <v>0</v>
      </c>
      <c r="M170" s="83">
        <f>VLOOKUP(F170,'Прайс Лазер'!$L$3:$M$9,2,0)</f>
        <v>94</v>
      </c>
      <c r="N170" s="83">
        <v>25</v>
      </c>
      <c r="O170" s="90">
        <f>VLOOKUP(E170,'Прайс Лазер'!$I$4:$J$21,2,0)</f>
        <v>1.1499999999999999</v>
      </c>
      <c r="P170" s="83">
        <f>HLOOKUP('Оценка лазера'!$E170,'Прайс Лазер'!$C$26:$T$34,1+VLOOKUP(F170,'Прайс Лазер'!$A$26:$B$34,2,0),0)</f>
        <v>21.849999999999998</v>
      </c>
      <c r="Q170" s="83">
        <f t="shared" si="20"/>
        <v>0</v>
      </c>
      <c r="R170" s="83">
        <f t="shared" si="21"/>
        <v>0</v>
      </c>
      <c r="S170" s="83">
        <f t="shared" si="22"/>
        <v>0</v>
      </c>
      <c r="T170" s="83">
        <f t="shared" si="24"/>
        <v>0</v>
      </c>
      <c r="U170" s="83">
        <f t="shared" si="23"/>
        <v>0</v>
      </c>
      <c r="V170" s="94">
        <f t="shared" si="25"/>
        <v>0</v>
      </c>
    </row>
    <row r="171" spans="1:22" ht="15">
      <c r="A171" s="93">
        <f t="shared" si="26"/>
        <v>169</v>
      </c>
      <c r="B171" s="83"/>
      <c r="C171" s="83"/>
      <c r="D171" s="83"/>
      <c r="E171" s="83">
        <v>1</v>
      </c>
      <c r="F171" s="91" t="s">
        <v>85</v>
      </c>
      <c r="G171" s="83"/>
      <c r="H171" s="83">
        <v>0</v>
      </c>
      <c r="I171" s="83">
        <v>0</v>
      </c>
      <c r="J171" s="83">
        <v>0</v>
      </c>
      <c r="K171" s="83">
        <v>0</v>
      </c>
      <c r="L171" s="83">
        <v>0</v>
      </c>
      <c r="M171" s="83">
        <f>VLOOKUP(F171,'Прайс Лазер'!$L$3:$M$9,2,0)</f>
        <v>94</v>
      </c>
      <c r="N171" s="83">
        <v>25</v>
      </c>
      <c r="O171" s="90">
        <f>VLOOKUP(E171,'Прайс Лазер'!$I$4:$J$21,2,0)</f>
        <v>1.1499999999999999</v>
      </c>
      <c r="P171" s="83">
        <f>HLOOKUP('Оценка лазера'!$E171,'Прайс Лазер'!$C$26:$T$34,1+VLOOKUP(F171,'Прайс Лазер'!$A$26:$B$34,2,0),0)</f>
        <v>21.849999999999998</v>
      </c>
      <c r="Q171" s="83">
        <f t="shared" si="20"/>
        <v>0</v>
      </c>
      <c r="R171" s="83">
        <f t="shared" si="21"/>
        <v>0</v>
      </c>
      <c r="S171" s="83">
        <f t="shared" si="22"/>
        <v>0</v>
      </c>
      <c r="T171" s="83">
        <f t="shared" si="24"/>
        <v>0</v>
      </c>
      <c r="U171" s="83">
        <f t="shared" si="23"/>
        <v>0</v>
      </c>
      <c r="V171" s="94">
        <f t="shared" si="25"/>
        <v>0</v>
      </c>
    </row>
    <row r="172" spans="1:22" ht="15">
      <c r="A172" s="93">
        <f t="shared" si="26"/>
        <v>170</v>
      </c>
      <c r="B172" s="83"/>
      <c r="C172" s="83"/>
      <c r="D172" s="83"/>
      <c r="E172" s="83">
        <v>1</v>
      </c>
      <c r="F172" s="91" t="s">
        <v>85</v>
      </c>
      <c r="G172" s="83"/>
      <c r="H172" s="83">
        <v>0</v>
      </c>
      <c r="I172" s="83">
        <v>0</v>
      </c>
      <c r="J172" s="83">
        <v>0</v>
      </c>
      <c r="K172" s="83">
        <v>0</v>
      </c>
      <c r="L172" s="83">
        <v>0</v>
      </c>
      <c r="M172" s="83">
        <f>VLOOKUP(F172,'Прайс Лазер'!$L$3:$M$9,2,0)</f>
        <v>94</v>
      </c>
      <c r="N172" s="83">
        <v>25</v>
      </c>
      <c r="O172" s="90">
        <f>VLOOKUP(E172,'Прайс Лазер'!$I$4:$J$21,2,0)</f>
        <v>1.1499999999999999</v>
      </c>
      <c r="P172" s="83">
        <f>HLOOKUP('Оценка лазера'!$E172,'Прайс Лазер'!$C$26:$T$34,1+VLOOKUP(F172,'Прайс Лазер'!$A$26:$B$34,2,0),0)</f>
        <v>21.849999999999998</v>
      </c>
      <c r="Q172" s="83">
        <f t="shared" si="20"/>
        <v>0</v>
      </c>
      <c r="R172" s="83">
        <f t="shared" si="21"/>
        <v>0</v>
      </c>
      <c r="S172" s="83">
        <f t="shared" si="22"/>
        <v>0</v>
      </c>
      <c r="T172" s="83">
        <f t="shared" si="24"/>
        <v>0</v>
      </c>
      <c r="U172" s="83">
        <f t="shared" si="23"/>
        <v>0</v>
      </c>
      <c r="V172" s="94">
        <f t="shared" si="25"/>
        <v>0</v>
      </c>
    </row>
    <row r="173" spans="1:22" ht="15">
      <c r="A173" s="93">
        <f t="shared" si="26"/>
        <v>171</v>
      </c>
      <c r="B173" s="83"/>
      <c r="C173" s="83"/>
      <c r="D173" s="83"/>
      <c r="E173" s="83">
        <v>1</v>
      </c>
      <c r="F173" s="91" t="s">
        <v>85</v>
      </c>
      <c r="G173" s="83"/>
      <c r="H173" s="83">
        <v>0</v>
      </c>
      <c r="I173" s="83">
        <v>0</v>
      </c>
      <c r="J173" s="83">
        <v>0</v>
      </c>
      <c r="K173" s="83">
        <v>0</v>
      </c>
      <c r="L173" s="83">
        <v>0</v>
      </c>
      <c r="M173" s="83">
        <f>VLOOKUP(F173,'Прайс Лазер'!$L$3:$M$9,2,0)</f>
        <v>94</v>
      </c>
      <c r="N173" s="83">
        <v>25</v>
      </c>
      <c r="O173" s="90">
        <f>VLOOKUP(E173,'Прайс Лазер'!$I$4:$J$21,2,0)</f>
        <v>1.1499999999999999</v>
      </c>
      <c r="P173" s="83">
        <f>HLOOKUP('Оценка лазера'!$E173,'Прайс Лазер'!$C$26:$T$34,1+VLOOKUP(F173,'Прайс Лазер'!$A$26:$B$34,2,0),0)</f>
        <v>21.849999999999998</v>
      </c>
      <c r="Q173" s="83">
        <f t="shared" si="20"/>
        <v>0</v>
      </c>
      <c r="R173" s="83">
        <f t="shared" si="21"/>
        <v>0</v>
      </c>
      <c r="S173" s="83">
        <f t="shared" si="22"/>
        <v>0</v>
      </c>
      <c r="T173" s="83">
        <f t="shared" si="24"/>
        <v>0</v>
      </c>
      <c r="U173" s="83">
        <f t="shared" si="23"/>
        <v>0</v>
      </c>
      <c r="V173" s="94">
        <f t="shared" si="25"/>
        <v>0</v>
      </c>
    </row>
    <row r="174" spans="1:22" ht="15">
      <c r="A174" s="93">
        <f t="shared" si="26"/>
        <v>172</v>
      </c>
      <c r="B174" s="83"/>
      <c r="C174" s="83"/>
      <c r="D174" s="83"/>
      <c r="E174" s="83">
        <v>1</v>
      </c>
      <c r="F174" s="91" t="s">
        <v>85</v>
      </c>
      <c r="G174" s="83"/>
      <c r="H174" s="83">
        <v>0</v>
      </c>
      <c r="I174" s="83">
        <v>0</v>
      </c>
      <c r="J174" s="83">
        <v>0</v>
      </c>
      <c r="K174" s="83">
        <v>0</v>
      </c>
      <c r="L174" s="83">
        <v>0</v>
      </c>
      <c r="M174" s="83">
        <f>VLOOKUP(F174,'Прайс Лазер'!$L$3:$M$9,2,0)</f>
        <v>94</v>
      </c>
      <c r="N174" s="83">
        <v>25</v>
      </c>
      <c r="O174" s="90">
        <f>VLOOKUP(E174,'Прайс Лазер'!$I$4:$J$21,2,0)</f>
        <v>1.1499999999999999</v>
      </c>
      <c r="P174" s="83">
        <f>HLOOKUP('Оценка лазера'!$E174,'Прайс Лазер'!$C$26:$T$34,1+VLOOKUP(F174,'Прайс Лазер'!$A$26:$B$34,2,0),0)</f>
        <v>21.849999999999998</v>
      </c>
      <c r="Q174" s="83">
        <f t="shared" si="20"/>
        <v>0</v>
      </c>
      <c r="R174" s="83">
        <f t="shared" si="21"/>
        <v>0</v>
      </c>
      <c r="S174" s="83">
        <f t="shared" si="22"/>
        <v>0</v>
      </c>
      <c r="T174" s="83">
        <f t="shared" si="24"/>
        <v>0</v>
      </c>
      <c r="U174" s="83">
        <f t="shared" si="23"/>
        <v>0</v>
      </c>
      <c r="V174" s="94">
        <f t="shared" si="25"/>
        <v>0</v>
      </c>
    </row>
    <row r="175" spans="1:22" ht="15">
      <c r="A175" s="93">
        <f t="shared" si="26"/>
        <v>173</v>
      </c>
      <c r="B175" s="83"/>
      <c r="C175" s="83"/>
      <c r="D175" s="83"/>
      <c r="E175" s="83">
        <v>1</v>
      </c>
      <c r="F175" s="91" t="s">
        <v>85</v>
      </c>
      <c r="G175" s="83"/>
      <c r="H175" s="83">
        <v>0</v>
      </c>
      <c r="I175" s="83">
        <v>0</v>
      </c>
      <c r="J175" s="83">
        <v>0</v>
      </c>
      <c r="K175" s="83">
        <v>0</v>
      </c>
      <c r="L175" s="83">
        <v>0</v>
      </c>
      <c r="M175" s="83">
        <f>VLOOKUP(F175,'Прайс Лазер'!$L$3:$M$9,2,0)</f>
        <v>94</v>
      </c>
      <c r="N175" s="83">
        <v>25</v>
      </c>
      <c r="O175" s="90">
        <f>VLOOKUP(E175,'Прайс Лазер'!$I$4:$J$21,2,0)</f>
        <v>1.1499999999999999</v>
      </c>
      <c r="P175" s="83">
        <f>HLOOKUP('Оценка лазера'!$E175,'Прайс Лазер'!$C$26:$T$34,1+VLOOKUP(F175,'Прайс Лазер'!$A$26:$B$34,2,0),0)</f>
        <v>21.849999999999998</v>
      </c>
      <c r="Q175" s="83">
        <f t="shared" si="20"/>
        <v>0</v>
      </c>
      <c r="R175" s="83">
        <f t="shared" si="21"/>
        <v>0</v>
      </c>
      <c r="S175" s="83">
        <f t="shared" si="22"/>
        <v>0</v>
      </c>
      <c r="T175" s="83">
        <f t="shared" si="24"/>
        <v>0</v>
      </c>
      <c r="U175" s="83">
        <f t="shared" si="23"/>
        <v>0</v>
      </c>
      <c r="V175" s="94">
        <f t="shared" si="25"/>
        <v>0</v>
      </c>
    </row>
    <row r="176" spans="1:22" ht="15">
      <c r="A176" s="93">
        <f t="shared" si="26"/>
        <v>174</v>
      </c>
      <c r="B176" s="83"/>
      <c r="C176" s="83"/>
      <c r="D176" s="83"/>
      <c r="E176" s="83">
        <v>1</v>
      </c>
      <c r="F176" s="91" t="s">
        <v>85</v>
      </c>
      <c r="G176" s="83"/>
      <c r="H176" s="83">
        <v>0</v>
      </c>
      <c r="I176" s="83">
        <v>0</v>
      </c>
      <c r="J176" s="83">
        <v>0</v>
      </c>
      <c r="K176" s="83">
        <v>0</v>
      </c>
      <c r="L176" s="83">
        <v>0</v>
      </c>
      <c r="M176" s="83">
        <f>VLOOKUP(F176,'Прайс Лазер'!$L$3:$M$9,2,0)</f>
        <v>94</v>
      </c>
      <c r="N176" s="83">
        <v>25</v>
      </c>
      <c r="O176" s="90">
        <f>VLOOKUP(E176,'Прайс Лазер'!$I$4:$J$21,2,0)</f>
        <v>1.1499999999999999</v>
      </c>
      <c r="P176" s="83">
        <f>HLOOKUP('Оценка лазера'!$E176,'Прайс Лазер'!$C$26:$T$34,1+VLOOKUP(F176,'Прайс Лазер'!$A$26:$B$34,2,0),0)</f>
        <v>21.849999999999998</v>
      </c>
      <c r="Q176" s="83">
        <f t="shared" si="20"/>
        <v>0</v>
      </c>
      <c r="R176" s="83">
        <f t="shared" si="21"/>
        <v>0</v>
      </c>
      <c r="S176" s="83">
        <f t="shared" si="22"/>
        <v>0</v>
      </c>
      <c r="T176" s="83">
        <f t="shared" si="24"/>
        <v>0</v>
      </c>
      <c r="U176" s="83">
        <f t="shared" si="23"/>
        <v>0</v>
      </c>
      <c r="V176" s="94">
        <f t="shared" si="25"/>
        <v>0</v>
      </c>
    </row>
    <row r="177" spans="1:22" ht="15">
      <c r="A177" s="93">
        <f t="shared" si="26"/>
        <v>175</v>
      </c>
      <c r="B177" s="83"/>
      <c r="C177" s="83"/>
      <c r="D177" s="83"/>
      <c r="E177" s="83">
        <v>1</v>
      </c>
      <c r="F177" s="91" t="s">
        <v>85</v>
      </c>
      <c r="G177" s="83"/>
      <c r="H177" s="83">
        <v>0</v>
      </c>
      <c r="I177" s="83">
        <v>0</v>
      </c>
      <c r="J177" s="83">
        <v>0</v>
      </c>
      <c r="K177" s="83">
        <v>0</v>
      </c>
      <c r="L177" s="83">
        <v>0</v>
      </c>
      <c r="M177" s="83">
        <f>VLOOKUP(F177,'Прайс Лазер'!$L$3:$M$9,2,0)</f>
        <v>94</v>
      </c>
      <c r="N177" s="83">
        <v>25</v>
      </c>
      <c r="O177" s="90">
        <f>VLOOKUP(E177,'Прайс Лазер'!$I$4:$J$21,2,0)</f>
        <v>1.1499999999999999</v>
      </c>
      <c r="P177" s="83">
        <f>HLOOKUP('Оценка лазера'!$E177,'Прайс Лазер'!$C$26:$T$34,1+VLOOKUP(F177,'Прайс Лазер'!$A$26:$B$34,2,0),0)</f>
        <v>21.849999999999998</v>
      </c>
      <c r="Q177" s="83">
        <f t="shared" si="20"/>
        <v>0</v>
      </c>
      <c r="R177" s="83">
        <f t="shared" si="21"/>
        <v>0</v>
      </c>
      <c r="S177" s="83">
        <f t="shared" si="22"/>
        <v>0</v>
      </c>
      <c r="T177" s="83">
        <f t="shared" si="24"/>
        <v>0</v>
      </c>
      <c r="U177" s="83">
        <f t="shared" si="23"/>
        <v>0</v>
      </c>
      <c r="V177" s="94">
        <f t="shared" si="25"/>
        <v>0</v>
      </c>
    </row>
    <row r="178" spans="1:22" ht="15">
      <c r="A178" s="93">
        <f t="shared" si="26"/>
        <v>176</v>
      </c>
      <c r="B178" s="83"/>
      <c r="C178" s="83"/>
      <c r="D178" s="83"/>
      <c r="E178" s="83">
        <v>1</v>
      </c>
      <c r="F178" s="91" t="s">
        <v>85</v>
      </c>
      <c r="G178" s="83"/>
      <c r="H178" s="83">
        <v>0</v>
      </c>
      <c r="I178" s="83">
        <v>0</v>
      </c>
      <c r="J178" s="83">
        <v>0</v>
      </c>
      <c r="K178" s="83">
        <v>0</v>
      </c>
      <c r="L178" s="83">
        <v>0</v>
      </c>
      <c r="M178" s="83">
        <f>VLOOKUP(F178,'Прайс Лазер'!$L$3:$M$9,2,0)</f>
        <v>94</v>
      </c>
      <c r="N178" s="83">
        <v>25</v>
      </c>
      <c r="O178" s="90">
        <f>VLOOKUP(E178,'Прайс Лазер'!$I$4:$J$21,2,0)</f>
        <v>1.1499999999999999</v>
      </c>
      <c r="P178" s="83">
        <f>HLOOKUP('Оценка лазера'!$E178,'Прайс Лазер'!$C$26:$T$34,1+VLOOKUP(F178,'Прайс Лазер'!$A$26:$B$34,2,0),0)</f>
        <v>21.849999999999998</v>
      </c>
      <c r="Q178" s="83">
        <f t="shared" si="20"/>
        <v>0</v>
      </c>
      <c r="R178" s="83">
        <f t="shared" si="21"/>
        <v>0</v>
      </c>
      <c r="S178" s="83">
        <f t="shared" si="22"/>
        <v>0</v>
      </c>
      <c r="T178" s="83">
        <f t="shared" si="24"/>
        <v>0</v>
      </c>
      <c r="U178" s="83">
        <f t="shared" si="23"/>
        <v>0</v>
      </c>
      <c r="V178" s="94">
        <f t="shared" si="25"/>
        <v>0</v>
      </c>
    </row>
    <row r="179" spans="1:22" ht="15">
      <c r="A179" s="93">
        <f t="shared" si="26"/>
        <v>177</v>
      </c>
      <c r="B179" s="83"/>
      <c r="C179" s="83"/>
      <c r="D179" s="83"/>
      <c r="E179" s="83">
        <v>1</v>
      </c>
      <c r="F179" s="91" t="s">
        <v>85</v>
      </c>
      <c r="G179" s="83"/>
      <c r="H179" s="83">
        <v>0</v>
      </c>
      <c r="I179" s="83">
        <v>0</v>
      </c>
      <c r="J179" s="83">
        <v>0</v>
      </c>
      <c r="K179" s="83">
        <v>0</v>
      </c>
      <c r="L179" s="83">
        <v>0</v>
      </c>
      <c r="M179" s="83">
        <f>VLOOKUP(F179,'Прайс Лазер'!$L$3:$M$9,2,0)</f>
        <v>94</v>
      </c>
      <c r="N179" s="83">
        <v>25</v>
      </c>
      <c r="O179" s="90">
        <f>VLOOKUP(E179,'Прайс Лазер'!$I$4:$J$21,2,0)</f>
        <v>1.1499999999999999</v>
      </c>
      <c r="P179" s="83">
        <f>HLOOKUP('Оценка лазера'!$E179,'Прайс Лазер'!$C$26:$T$34,1+VLOOKUP(F179,'Прайс Лазер'!$A$26:$B$34,2,0),0)</f>
        <v>21.849999999999998</v>
      </c>
      <c r="Q179" s="83">
        <f t="shared" si="20"/>
        <v>0</v>
      </c>
      <c r="R179" s="83">
        <f t="shared" si="21"/>
        <v>0</v>
      </c>
      <c r="S179" s="83">
        <f t="shared" si="22"/>
        <v>0</v>
      </c>
      <c r="T179" s="83">
        <f t="shared" si="24"/>
        <v>0</v>
      </c>
      <c r="U179" s="83">
        <f t="shared" si="23"/>
        <v>0</v>
      </c>
      <c r="V179" s="94">
        <f t="shared" si="25"/>
        <v>0</v>
      </c>
    </row>
    <row r="180" spans="1:22" ht="15">
      <c r="A180" s="93">
        <f t="shared" si="26"/>
        <v>178</v>
      </c>
      <c r="B180" s="83"/>
      <c r="C180" s="83"/>
      <c r="D180" s="83"/>
      <c r="E180" s="83">
        <v>1</v>
      </c>
      <c r="F180" s="91" t="s">
        <v>85</v>
      </c>
      <c r="G180" s="83"/>
      <c r="H180" s="83">
        <v>0</v>
      </c>
      <c r="I180" s="83">
        <v>0</v>
      </c>
      <c r="J180" s="83">
        <v>0</v>
      </c>
      <c r="K180" s="83">
        <v>0</v>
      </c>
      <c r="L180" s="83">
        <v>0</v>
      </c>
      <c r="M180" s="83">
        <f>VLOOKUP(F180,'Прайс Лазер'!$L$3:$M$9,2,0)</f>
        <v>94</v>
      </c>
      <c r="N180" s="83">
        <v>25</v>
      </c>
      <c r="O180" s="90">
        <f>VLOOKUP(E180,'Прайс Лазер'!$I$4:$J$21,2,0)</f>
        <v>1.1499999999999999</v>
      </c>
      <c r="P180" s="83">
        <f>HLOOKUP('Оценка лазера'!$E180,'Прайс Лазер'!$C$26:$T$34,1+VLOOKUP(F180,'Прайс Лазер'!$A$26:$B$34,2,0),0)</f>
        <v>21.849999999999998</v>
      </c>
      <c r="Q180" s="83">
        <f t="shared" si="20"/>
        <v>0</v>
      </c>
      <c r="R180" s="83">
        <f t="shared" si="21"/>
        <v>0</v>
      </c>
      <c r="S180" s="83">
        <f t="shared" si="22"/>
        <v>0</v>
      </c>
      <c r="T180" s="83">
        <f t="shared" si="24"/>
        <v>0</v>
      </c>
      <c r="U180" s="83">
        <f t="shared" si="23"/>
        <v>0</v>
      </c>
      <c r="V180" s="94">
        <f t="shared" si="25"/>
        <v>0</v>
      </c>
    </row>
    <row r="181" spans="1:22" ht="15">
      <c r="A181" s="93">
        <f t="shared" si="26"/>
        <v>179</v>
      </c>
      <c r="B181" s="83"/>
      <c r="C181" s="83"/>
      <c r="D181" s="83"/>
      <c r="E181" s="83">
        <v>1</v>
      </c>
      <c r="F181" s="91" t="s">
        <v>85</v>
      </c>
      <c r="G181" s="83"/>
      <c r="H181" s="83">
        <v>0</v>
      </c>
      <c r="I181" s="83">
        <v>0</v>
      </c>
      <c r="J181" s="83">
        <v>0</v>
      </c>
      <c r="K181" s="83">
        <v>0</v>
      </c>
      <c r="L181" s="83">
        <v>0</v>
      </c>
      <c r="M181" s="83">
        <f>VLOOKUP(F181,'Прайс Лазер'!$L$3:$M$9,2,0)</f>
        <v>94</v>
      </c>
      <c r="N181" s="83">
        <v>25</v>
      </c>
      <c r="O181" s="90">
        <f>VLOOKUP(E181,'Прайс Лазер'!$I$4:$J$21,2,0)</f>
        <v>1.1499999999999999</v>
      </c>
      <c r="P181" s="83">
        <f>HLOOKUP('Оценка лазера'!$E181,'Прайс Лазер'!$C$26:$T$34,1+VLOOKUP(F181,'Прайс Лазер'!$A$26:$B$34,2,0),0)</f>
        <v>21.849999999999998</v>
      </c>
      <c r="Q181" s="83">
        <f t="shared" si="20"/>
        <v>0</v>
      </c>
      <c r="R181" s="83">
        <f t="shared" si="21"/>
        <v>0</v>
      </c>
      <c r="S181" s="83">
        <f t="shared" si="22"/>
        <v>0</v>
      </c>
      <c r="T181" s="83">
        <f t="shared" si="24"/>
        <v>0</v>
      </c>
      <c r="U181" s="83">
        <f t="shared" si="23"/>
        <v>0</v>
      </c>
      <c r="V181" s="94">
        <f t="shared" si="25"/>
        <v>0</v>
      </c>
    </row>
    <row r="182" spans="1:22" ht="15">
      <c r="A182" s="93">
        <f t="shared" si="26"/>
        <v>180</v>
      </c>
      <c r="B182" s="83"/>
      <c r="C182" s="83"/>
      <c r="D182" s="83"/>
      <c r="E182" s="83">
        <v>1</v>
      </c>
      <c r="F182" s="91" t="s">
        <v>85</v>
      </c>
      <c r="G182" s="83"/>
      <c r="H182" s="83">
        <v>0</v>
      </c>
      <c r="I182" s="83">
        <v>0</v>
      </c>
      <c r="J182" s="83">
        <v>0</v>
      </c>
      <c r="K182" s="83">
        <v>0</v>
      </c>
      <c r="L182" s="83">
        <v>0</v>
      </c>
      <c r="M182" s="83">
        <f>VLOOKUP(F182,'Прайс Лазер'!$L$3:$M$9,2,0)</f>
        <v>94</v>
      </c>
      <c r="N182" s="83">
        <v>25</v>
      </c>
      <c r="O182" s="90">
        <f>VLOOKUP(E182,'Прайс Лазер'!$I$4:$J$21,2,0)</f>
        <v>1.1499999999999999</v>
      </c>
      <c r="P182" s="83">
        <f>HLOOKUP('Оценка лазера'!$E182,'Прайс Лазер'!$C$26:$T$34,1+VLOOKUP(F182,'Прайс Лазер'!$A$26:$B$34,2,0),0)</f>
        <v>21.849999999999998</v>
      </c>
      <c r="Q182" s="83">
        <f t="shared" si="20"/>
        <v>0</v>
      </c>
      <c r="R182" s="83">
        <f t="shared" si="21"/>
        <v>0</v>
      </c>
      <c r="S182" s="83">
        <f t="shared" si="22"/>
        <v>0</v>
      </c>
      <c r="T182" s="83">
        <f t="shared" si="24"/>
        <v>0</v>
      </c>
      <c r="U182" s="83">
        <f t="shared" si="23"/>
        <v>0</v>
      </c>
      <c r="V182" s="94">
        <f t="shared" si="25"/>
        <v>0</v>
      </c>
    </row>
    <row r="183" spans="1:22" ht="15">
      <c r="A183" s="93">
        <f t="shared" si="26"/>
        <v>181</v>
      </c>
      <c r="B183" s="83"/>
      <c r="C183" s="83"/>
      <c r="D183" s="83"/>
      <c r="E183" s="83">
        <v>1</v>
      </c>
      <c r="F183" s="91" t="s">
        <v>85</v>
      </c>
      <c r="G183" s="83"/>
      <c r="H183" s="83">
        <v>0</v>
      </c>
      <c r="I183" s="83">
        <v>0</v>
      </c>
      <c r="J183" s="83">
        <v>0</v>
      </c>
      <c r="K183" s="83">
        <v>0</v>
      </c>
      <c r="L183" s="83">
        <v>0</v>
      </c>
      <c r="M183" s="83">
        <f>VLOOKUP(F183,'Прайс Лазер'!$L$3:$M$9,2,0)</f>
        <v>94</v>
      </c>
      <c r="N183" s="83">
        <v>25</v>
      </c>
      <c r="O183" s="90">
        <f>VLOOKUP(E183,'Прайс Лазер'!$I$4:$J$21,2,0)</f>
        <v>1.1499999999999999</v>
      </c>
      <c r="P183" s="83">
        <f>HLOOKUP('Оценка лазера'!$E183,'Прайс Лазер'!$C$26:$T$34,1+VLOOKUP(F183,'Прайс Лазер'!$A$26:$B$34,2,0),0)</f>
        <v>21.849999999999998</v>
      </c>
      <c r="Q183" s="83">
        <f t="shared" si="20"/>
        <v>0</v>
      </c>
      <c r="R183" s="83">
        <f t="shared" si="21"/>
        <v>0</v>
      </c>
      <c r="S183" s="83">
        <f t="shared" si="22"/>
        <v>0</v>
      </c>
      <c r="T183" s="83">
        <f t="shared" si="24"/>
        <v>0</v>
      </c>
      <c r="U183" s="83">
        <f t="shared" si="23"/>
        <v>0</v>
      </c>
      <c r="V183" s="94">
        <f t="shared" si="25"/>
        <v>0</v>
      </c>
    </row>
    <row r="184" spans="1:22" ht="15">
      <c r="A184" s="93">
        <f t="shared" si="26"/>
        <v>182</v>
      </c>
      <c r="B184" s="83"/>
      <c r="C184" s="83"/>
      <c r="D184" s="83"/>
      <c r="E184" s="83">
        <v>1</v>
      </c>
      <c r="F184" s="91" t="s">
        <v>85</v>
      </c>
      <c r="G184" s="83"/>
      <c r="H184" s="83">
        <v>0</v>
      </c>
      <c r="I184" s="83">
        <v>0</v>
      </c>
      <c r="J184" s="83">
        <v>0</v>
      </c>
      <c r="K184" s="83">
        <v>0</v>
      </c>
      <c r="L184" s="83">
        <v>0</v>
      </c>
      <c r="M184" s="83">
        <f>VLOOKUP(F184,'Прайс Лазер'!$L$3:$M$9,2,0)</f>
        <v>94</v>
      </c>
      <c r="N184" s="83">
        <v>25</v>
      </c>
      <c r="O184" s="90">
        <f>VLOOKUP(E184,'Прайс Лазер'!$I$4:$J$21,2,0)</f>
        <v>1.1499999999999999</v>
      </c>
      <c r="P184" s="83">
        <f>HLOOKUP('Оценка лазера'!$E184,'Прайс Лазер'!$C$26:$T$34,1+VLOOKUP(F184,'Прайс Лазер'!$A$26:$B$34,2,0),0)</f>
        <v>21.849999999999998</v>
      </c>
      <c r="Q184" s="83">
        <f t="shared" si="20"/>
        <v>0</v>
      </c>
      <c r="R184" s="83">
        <f t="shared" si="21"/>
        <v>0</v>
      </c>
      <c r="S184" s="83">
        <f t="shared" si="22"/>
        <v>0</v>
      </c>
      <c r="T184" s="83">
        <f t="shared" si="24"/>
        <v>0</v>
      </c>
      <c r="U184" s="83">
        <f t="shared" si="23"/>
        <v>0</v>
      </c>
      <c r="V184" s="94">
        <f t="shared" si="25"/>
        <v>0</v>
      </c>
    </row>
    <row r="185" spans="1:22" ht="15">
      <c r="A185" s="93">
        <f t="shared" si="26"/>
        <v>183</v>
      </c>
      <c r="B185" s="83"/>
      <c r="C185" s="83"/>
      <c r="D185" s="83"/>
      <c r="E185" s="83">
        <v>1</v>
      </c>
      <c r="F185" s="91" t="s">
        <v>85</v>
      </c>
      <c r="G185" s="83"/>
      <c r="H185" s="83">
        <v>0</v>
      </c>
      <c r="I185" s="83">
        <v>0</v>
      </c>
      <c r="J185" s="83">
        <v>0</v>
      </c>
      <c r="K185" s="83">
        <v>0</v>
      </c>
      <c r="L185" s="83">
        <v>0</v>
      </c>
      <c r="M185" s="83">
        <f>VLOOKUP(F185,'Прайс Лазер'!$L$3:$M$9,2,0)</f>
        <v>94</v>
      </c>
      <c r="N185" s="83">
        <v>25</v>
      </c>
      <c r="O185" s="90">
        <f>VLOOKUP(E185,'Прайс Лазер'!$I$4:$J$21,2,0)</f>
        <v>1.1499999999999999</v>
      </c>
      <c r="P185" s="83">
        <f>HLOOKUP('Оценка лазера'!$E185,'Прайс Лазер'!$C$26:$T$34,1+VLOOKUP(F185,'Прайс Лазер'!$A$26:$B$34,2,0),0)</f>
        <v>21.849999999999998</v>
      </c>
      <c r="Q185" s="83">
        <f t="shared" si="20"/>
        <v>0</v>
      </c>
      <c r="R185" s="83">
        <f t="shared" si="21"/>
        <v>0</v>
      </c>
      <c r="S185" s="83">
        <f t="shared" si="22"/>
        <v>0</v>
      </c>
      <c r="T185" s="83">
        <f t="shared" si="24"/>
        <v>0</v>
      </c>
      <c r="U185" s="83">
        <f t="shared" si="23"/>
        <v>0</v>
      </c>
      <c r="V185" s="94">
        <f t="shared" si="25"/>
        <v>0</v>
      </c>
    </row>
    <row r="186" spans="1:22" ht="15">
      <c r="A186" s="93">
        <f t="shared" si="26"/>
        <v>184</v>
      </c>
      <c r="B186" s="83"/>
      <c r="C186" s="83"/>
      <c r="D186" s="83"/>
      <c r="E186" s="83">
        <v>1</v>
      </c>
      <c r="F186" s="91" t="s">
        <v>85</v>
      </c>
      <c r="G186" s="83"/>
      <c r="H186" s="83">
        <v>0</v>
      </c>
      <c r="I186" s="83">
        <v>0</v>
      </c>
      <c r="J186" s="83">
        <v>0</v>
      </c>
      <c r="K186" s="83">
        <v>0</v>
      </c>
      <c r="L186" s="83">
        <v>0</v>
      </c>
      <c r="M186" s="83">
        <f>VLOOKUP(F186,'Прайс Лазер'!$L$3:$M$9,2,0)</f>
        <v>94</v>
      </c>
      <c r="N186" s="83">
        <v>25</v>
      </c>
      <c r="O186" s="90">
        <f>VLOOKUP(E186,'Прайс Лазер'!$I$4:$J$21,2,0)</f>
        <v>1.1499999999999999</v>
      </c>
      <c r="P186" s="83">
        <f>HLOOKUP('Оценка лазера'!$E186,'Прайс Лазер'!$C$26:$T$34,1+VLOOKUP(F186,'Прайс Лазер'!$A$26:$B$34,2,0),0)</f>
        <v>21.849999999999998</v>
      </c>
      <c r="Q186" s="83">
        <f t="shared" si="20"/>
        <v>0</v>
      </c>
      <c r="R186" s="83">
        <f t="shared" si="21"/>
        <v>0</v>
      </c>
      <c r="S186" s="83">
        <f t="shared" si="22"/>
        <v>0</v>
      </c>
      <c r="T186" s="83">
        <f t="shared" si="24"/>
        <v>0</v>
      </c>
      <c r="U186" s="83">
        <f t="shared" si="23"/>
        <v>0</v>
      </c>
      <c r="V186" s="94">
        <f t="shared" si="25"/>
        <v>0</v>
      </c>
    </row>
    <row r="187" spans="1:22" ht="15">
      <c r="A187" s="93">
        <f t="shared" si="26"/>
        <v>185</v>
      </c>
      <c r="B187" s="83"/>
      <c r="C187" s="83"/>
      <c r="D187" s="83"/>
      <c r="E187" s="83">
        <v>1</v>
      </c>
      <c r="F187" s="91" t="s">
        <v>85</v>
      </c>
      <c r="G187" s="83"/>
      <c r="H187" s="83">
        <v>0</v>
      </c>
      <c r="I187" s="83">
        <v>0</v>
      </c>
      <c r="J187" s="83">
        <v>0</v>
      </c>
      <c r="K187" s="83">
        <v>0</v>
      </c>
      <c r="L187" s="83">
        <v>0</v>
      </c>
      <c r="M187" s="83">
        <f>VLOOKUP(F187,'Прайс Лазер'!$L$3:$M$9,2,0)</f>
        <v>94</v>
      </c>
      <c r="N187" s="83">
        <v>25</v>
      </c>
      <c r="O187" s="90">
        <f>VLOOKUP(E187,'Прайс Лазер'!$I$4:$J$21,2,0)</f>
        <v>1.1499999999999999</v>
      </c>
      <c r="P187" s="83">
        <f>HLOOKUP('Оценка лазера'!$E187,'Прайс Лазер'!$C$26:$T$34,1+VLOOKUP(F187,'Прайс Лазер'!$A$26:$B$34,2,0),0)</f>
        <v>21.849999999999998</v>
      </c>
      <c r="Q187" s="83">
        <f t="shared" si="20"/>
        <v>0</v>
      </c>
      <c r="R187" s="83">
        <f t="shared" si="21"/>
        <v>0</v>
      </c>
      <c r="S187" s="83">
        <f t="shared" si="22"/>
        <v>0</v>
      </c>
      <c r="T187" s="83">
        <f t="shared" si="24"/>
        <v>0</v>
      </c>
      <c r="U187" s="83">
        <f t="shared" si="23"/>
        <v>0</v>
      </c>
      <c r="V187" s="94">
        <f t="shared" si="25"/>
        <v>0</v>
      </c>
    </row>
    <row r="188" spans="1:22" ht="15">
      <c r="A188" s="93">
        <f t="shared" si="26"/>
        <v>186</v>
      </c>
      <c r="B188" s="83"/>
      <c r="C188" s="83"/>
      <c r="D188" s="83"/>
      <c r="E188" s="83">
        <v>1</v>
      </c>
      <c r="F188" s="91" t="s">
        <v>85</v>
      </c>
      <c r="G188" s="83"/>
      <c r="H188" s="83">
        <v>0</v>
      </c>
      <c r="I188" s="83">
        <v>0</v>
      </c>
      <c r="J188" s="83">
        <v>0</v>
      </c>
      <c r="K188" s="83">
        <v>0</v>
      </c>
      <c r="L188" s="83">
        <v>0</v>
      </c>
      <c r="M188" s="83">
        <f>VLOOKUP(F188,'Прайс Лазер'!$L$3:$M$9,2,0)</f>
        <v>94</v>
      </c>
      <c r="N188" s="83">
        <v>25</v>
      </c>
      <c r="O188" s="90">
        <f>VLOOKUP(E188,'Прайс Лазер'!$I$4:$J$21,2,0)</f>
        <v>1.1499999999999999</v>
      </c>
      <c r="P188" s="83">
        <f>HLOOKUP('Оценка лазера'!$E188,'Прайс Лазер'!$C$26:$T$34,1+VLOOKUP(F188,'Прайс Лазер'!$A$26:$B$34,2,0),0)</f>
        <v>21.849999999999998</v>
      </c>
      <c r="Q188" s="83">
        <f t="shared" si="20"/>
        <v>0</v>
      </c>
      <c r="R188" s="83">
        <f t="shared" si="21"/>
        <v>0</v>
      </c>
      <c r="S188" s="83">
        <f t="shared" si="22"/>
        <v>0</v>
      </c>
      <c r="T188" s="83">
        <f t="shared" si="24"/>
        <v>0</v>
      </c>
      <c r="U188" s="83">
        <f t="shared" si="23"/>
        <v>0</v>
      </c>
      <c r="V188" s="94">
        <f t="shared" si="25"/>
        <v>0</v>
      </c>
    </row>
    <row r="189" spans="1:22" ht="15">
      <c r="A189" s="93">
        <f t="shared" si="26"/>
        <v>187</v>
      </c>
      <c r="B189" s="83"/>
      <c r="C189" s="83"/>
      <c r="D189" s="83"/>
      <c r="E189" s="83">
        <v>1</v>
      </c>
      <c r="F189" s="91" t="s">
        <v>85</v>
      </c>
      <c r="G189" s="83"/>
      <c r="H189" s="83">
        <v>0</v>
      </c>
      <c r="I189" s="83">
        <v>0</v>
      </c>
      <c r="J189" s="83">
        <v>0</v>
      </c>
      <c r="K189" s="83">
        <v>0</v>
      </c>
      <c r="L189" s="83">
        <v>0</v>
      </c>
      <c r="M189" s="83">
        <f>VLOOKUP(F189,'Прайс Лазер'!$L$3:$M$9,2,0)</f>
        <v>94</v>
      </c>
      <c r="N189" s="83">
        <v>25</v>
      </c>
      <c r="O189" s="90">
        <f>VLOOKUP(E189,'Прайс Лазер'!$I$4:$J$21,2,0)</f>
        <v>1.1499999999999999</v>
      </c>
      <c r="P189" s="83">
        <f>HLOOKUP('Оценка лазера'!$E189,'Прайс Лазер'!$C$26:$T$34,1+VLOOKUP(F189,'Прайс Лазер'!$A$26:$B$34,2,0),0)</f>
        <v>21.849999999999998</v>
      </c>
      <c r="Q189" s="83">
        <f t="shared" si="20"/>
        <v>0</v>
      </c>
      <c r="R189" s="83">
        <f t="shared" si="21"/>
        <v>0</v>
      </c>
      <c r="S189" s="83">
        <f t="shared" si="22"/>
        <v>0</v>
      </c>
      <c r="T189" s="83">
        <f t="shared" si="24"/>
        <v>0</v>
      </c>
      <c r="U189" s="83">
        <f t="shared" si="23"/>
        <v>0</v>
      </c>
      <c r="V189" s="94">
        <f t="shared" si="25"/>
        <v>0</v>
      </c>
    </row>
    <row r="190" spans="1:22" ht="15">
      <c r="A190" s="93">
        <f t="shared" si="26"/>
        <v>188</v>
      </c>
      <c r="B190" s="83"/>
      <c r="C190" s="83"/>
      <c r="D190" s="83"/>
      <c r="E190" s="83">
        <v>1</v>
      </c>
      <c r="F190" s="91" t="s">
        <v>85</v>
      </c>
      <c r="G190" s="83"/>
      <c r="H190" s="83">
        <v>0</v>
      </c>
      <c r="I190" s="83">
        <v>0</v>
      </c>
      <c r="J190" s="83">
        <v>0</v>
      </c>
      <c r="K190" s="83">
        <v>0</v>
      </c>
      <c r="L190" s="83">
        <v>0</v>
      </c>
      <c r="M190" s="83">
        <f>VLOOKUP(F190,'Прайс Лазер'!$L$3:$M$9,2,0)</f>
        <v>94</v>
      </c>
      <c r="N190" s="83">
        <v>25</v>
      </c>
      <c r="O190" s="90">
        <f>VLOOKUP(E190,'Прайс Лазер'!$I$4:$J$21,2,0)</f>
        <v>1.1499999999999999</v>
      </c>
      <c r="P190" s="83">
        <f>HLOOKUP('Оценка лазера'!$E190,'Прайс Лазер'!$C$26:$T$34,1+VLOOKUP(F190,'Прайс Лазер'!$A$26:$B$34,2,0),0)</f>
        <v>21.849999999999998</v>
      </c>
      <c r="Q190" s="83">
        <f t="shared" si="20"/>
        <v>0</v>
      </c>
      <c r="R190" s="83">
        <f t="shared" si="21"/>
        <v>0</v>
      </c>
      <c r="S190" s="83">
        <f t="shared" si="22"/>
        <v>0</v>
      </c>
      <c r="T190" s="83">
        <f t="shared" si="24"/>
        <v>0</v>
      </c>
      <c r="U190" s="83">
        <f t="shared" si="23"/>
        <v>0</v>
      </c>
      <c r="V190" s="94">
        <f t="shared" si="25"/>
        <v>0</v>
      </c>
    </row>
    <row r="191" spans="1:22" ht="15">
      <c r="A191" s="93">
        <f t="shared" si="26"/>
        <v>189</v>
      </c>
      <c r="B191" s="83"/>
      <c r="C191" s="83"/>
      <c r="D191" s="83"/>
      <c r="E191" s="83">
        <v>1</v>
      </c>
      <c r="F191" s="91" t="s">
        <v>85</v>
      </c>
      <c r="G191" s="83"/>
      <c r="H191" s="83">
        <v>0</v>
      </c>
      <c r="I191" s="83">
        <v>0</v>
      </c>
      <c r="J191" s="83">
        <v>0</v>
      </c>
      <c r="K191" s="83">
        <v>0</v>
      </c>
      <c r="L191" s="83">
        <v>0</v>
      </c>
      <c r="M191" s="83">
        <f>VLOOKUP(F191,'Прайс Лазер'!$L$3:$M$9,2,0)</f>
        <v>94</v>
      </c>
      <c r="N191" s="83">
        <v>25</v>
      </c>
      <c r="O191" s="90">
        <f>VLOOKUP(E191,'Прайс Лазер'!$I$4:$J$21,2,0)</f>
        <v>1.1499999999999999</v>
      </c>
      <c r="P191" s="83">
        <f>HLOOKUP('Оценка лазера'!$E191,'Прайс Лазер'!$C$26:$T$34,1+VLOOKUP(F191,'Прайс Лазер'!$A$26:$B$34,2,0),0)</f>
        <v>21.849999999999998</v>
      </c>
      <c r="Q191" s="83">
        <f t="shared" si="20"/>
        <v>0</v>
      </c>
      <c r="R191" s="83">
        <f t="shared" si="21"/>
        <v>0</v>
      </c>
      <c r="S191" s="83">
        <f t="shared" si="22"/>
        <v>0</v>
      </c>
      <c r="T191" s="83">
        <f t="shared" si="24"/>
        <v>0</v>
      </c>
      <c r="U191" s="83">
        <f t="shared" si="23"/>
        <v>0</v>
      </c>
      <c r="V191" s="94">
        <f t="shared" si="25"/>
        <v>0</v>
      </c>
    </row>
    <row r="192" spans="1:22" ht="15">
      <c r="A192" s="93">
        <f t="shared" si="26"/>
        <v>190</v>
      </c>
      <c r="B192" s="83"/>
      <c r="C192" s="83"/>
      <c r="D192" s="83"/>
      <c r="E192" s="83">
        <v>1</v>
      </c>
      <c r="F192" s="91" t="s">
        <v>85</v>
      </c>
      <c r="G192" s="83"/>
      <c r="H192" s="83">
        <v>0</v>
      </c>
      <c r="I192" s="83">
        <v>0</v>
      </c>
      <c r="J192" s="83">
        <v>0</v>
      </c>
      <c r="K192" s="83">
        <v>0</v>
      </c>
      <c r="L192" s="83">
        <v>0</v>
      </c>
      <c r="M192" s="83">
        <f>VLOOKUP(F192,'Прайс Лазер'!$L$3:$M$9,2,0)</f>
        <v>94</v>
      </c>
      <c r="N192" s="83">
        <v>25</v>
      </c>
      <c r="O192" s="90">
        <f>VLOOKUP(E192,'Прайс Лазер'!$I$4:$J$21,2,0)</f>
        <v>1.1499999999999999</v>
      </c>
      <c r="P192" s="83">
        <f>HLOOKUP('Оценка лазера'!$E192,'Прайс Лазер'!$C$26:$T$34,1+VLOOKUP(F192,'Прайс Лазер'!$A$26:$B$34,2,0),0)</f>
        <v>21.849999999999998</v>
      </c>
      <c r="Q192" s="83">
        <f t="shared" si="20"/>
        <v>0</v>
      </c>
      <c r="R192" s="83">
        <f t="shared" si="21"/>
        <v>0</v>
      </c>
      <c r="S192" s="83">
        <f t="shared" si="22"/>
        <v>0</v>
      </c>
      <c r="T192" s="83">
        <f t="shared" si="24"/>
        <v>0</v>
      </c>
      <c r="U192" s="83">
        <f t="shared" si="23"/>
        <v>0</v>
      </c>
      <c r="V192" s="94">
        <f t="shared" si="25"/>
        <v>0</v>
      </c>
    </row>
    <row r="193" spans="1:25" ht="15">
      <c r="A193" s="93">
        <f t="shared" si="26"/>
        <v>191</v>
      </c>
      <c r="B193" s="83"/>
      <c r="C193" s="83"/>
      <c r="D193" s="83"/>
      <c r="E193" s="83">
        <v>1</v>
      </c>
      <c r="F193" s="91" t="s">
        <v>85</v>
      </c>
      <c r="G193" s="83"/>
      <c r="H193" s="83">
        <v>0</v>
      </c>
      <c r="I193" s="83">
        <v>0</v>
      </c>
      <c r="J193" s="83">
        <v>0</v>
      </c>
      <c r="K193" s="83">
        <v>0</v>
      </c>
      <c r="L193" s="83">
        <v>0</v>
      </c>
      <c r="M193" s="83">
        <f>VLOOKUP(F193,'Прайс Лазер'!$L$3:$M$9,2,0)</f>
        <v>94</v>
      </c>
      <c r="N193" s="83">
        <v>25</v>
      </c>
      <c r="O193" s="90">
        <f>VLOOKUP(E193,'Прайс Лазер'!$I$4:$J$21,2,0)</f>
        <v>1.1499999999999999</v>
      </c>
      <c r="P193" s="83">
        <f>HLOOKUP('Оценка лазера'!$E193,'Прайс Лазер'!$C$26:$T$34,1+VLOOKUP(F193,'Прайс Лазер'!$A$26:$B$34,2,0),0)</f>
        <v>21.849999999999998</v>
      </c>
      <c r="Q193" s="83">
        <f t="shared" si="20"/>
        <v>0</v>
      </c>
      <c r="R193" s="83">
        <f t="shared" si="21"/>
        <v>0</v>
      </c>
      <c r="S193" s="83">
        <f t="shared" si="22"/>
        <v>0</v>
      </c>
      <c r="T193" s="83">
        <f t="shared" si="24"/>
        <v>0</v>
      </c>
      <c r="U193" s="83">
        <f t="shared" si="23"/>
        <v>0</v>
      </c>
      <c r="V193" s="94">
        <f t="shared" si="25"/>
        <v>0</v>
      </c>
    </row>
    <row r="194" spans="1:25" ht="15">
      <c r="A194" s="93">
        <f t="shared" si="26"/>
        <v>192</v>
      </c>
      <c r="B194" s="83"/>
      <c r="C194" s="83"/>
      <c r="D194" s="83"/>
      <c r="E194" s="83">
        <v>1</v>
      </c>
      <c r="F194" s="91" t="s">
        <v>85</v>
      </c>
      <c r="G194" s="83"/>
      <c r="H194" s="83">
        <v>0</v>
      </c>
      <c r="I194" s="83">
        <v>0</v>
      </c>
      <c r="J194" s="83">
        <v>0</v>
      </c>
      <c r="K194" s="83">
        <v>0</v>
      </c>
      <c r="L194" s="83">
        <v>0</v>
      </c>
      <c r="M194" s="83">
        <f>VLOOKUP(F194,'Прайс Лазер'!$L$3:$M$9,2,0)</f>
        <v>94</v>
      </c>
      <c r="N194" s="83">
        <v>25</v>
      </c>
      <c r="O194" s="90">
        <f>VLOOKUP(E194,'Прайс Лазер'!$I$4:$J$21,2,0)</f>
        <v>1.1499999999999999</v>
      </c>
      <c r="P194" s="83">
        <f>HLOOKUP('Оценка лазера'!$E194,'Прайс Лазер'!$C$26:$T$34,1+VLOOKUP(F194,'Прайс Лазер'!$A$26:$B$34,2,0),0)</f>
        <v>21.849999999999998</v>
      </c>
      <c r="Q194" s="83">
        <f t="shared" si="20"/>
        <v>0</v>
      </c>
      <c r="R194" s="83">
        <f t="shared" si="21"/>
        <v>0</v>
      </c>
      <c r="S194" s="83">
        <f t="shared" si="22"/>
        <v>0</v>
      </c>
      <c r="T194" s="83">
        <f t="shared" si="24"/>
        <v>0</v>
      </c>
      <c r="U194" s="83">
        <f t="shared" si="23"/>
        <v>0</v>
      </c>
      <c r="V194" s="94">
        <f t="shared" si="25"/>
        <v>0</v>
      </c>
    </row>
    <row r="195" spans="1:25" ht="15">
      <c r="A195" s="93">
        <f t="shared" si="26"/>
        <v>193</v>
      </c>
      <c r="B195" s="83"/>
      <c r="C195" s="83"/>
      <c r="D195" s="83"/>
      <c r="E195" s="83">
        <v>1</v>
      </c>
      <c r="F195" s="91" t="s">
        <v>85</v>
      </c>
      <c r="G195" s="83"/>
      <c r="H195" s="83">
        <v>0</v>
      </c>
      <c r="I195" s="83">
        <v>0</v>
      </c>
      <c r="J195" s="83">
        <v>0</v>
      </c>
      <c r="K195" s="83">
        <v>0</v>
      </c>
      <c r="L195" s="83">
        <v>0</v>
      </c>
      <c r="M195" s="83">
        <f>VLOOKUP(F195,'Прайс Лазер'!$L$3:$M$9,2,0)</f>
        <v>94</v>
      </c>
      <c r="N195" s="83">
        <v>25</v>
      </c>
      <c r="O195" s="90">
        <f>VLOOKUP(E195,'Прайс Лазер'!$I$4:$J$21,2,0)</f>
        <v>1.1499999999999999</v>
      </c>
      <c r="P195" s="83">
        <f>HLOOKUP('Оценка лазера'!$E195,'Прайс Лазер'!$C$26:$T$34,1+VLOOKUP(F195,'Прайс Лазер'!$A$26:$B$34,2,0),0)</f>
        <v>21.849999999999998</v>
      </c>
      <c r="Q195" s="83">
        <f t="shared" ref="Q195:Q237" si="27">H195*M195</f>
        <v>0</v>
      </c>
      <c r="R195" s="83">
        <f t="shared" ref="R195:R237" si="28">I195*N195</f>
        <v>0</v>
      </c>
      <c r="S195" s="83">
        <f t="shared" ref="S195:S237" si="29">(K195+L195)/1000*1.1*P195+(J195*O195)</f>
        <v>0</v>
      </c>
      <c r="T195" s="83">
        <f t="shared" si="24"/>
        <v>0</v>
      </c>
      <c r="U195" s="83">
        <f t="shared" ref="U195:U237" si="30">D195*T195</f>
        <v>0</v>
      </c>
      <c r="V195" s="94">
        <f t="shared" si="25"/>
        <v>0</v>
      </c>
    </row>
    <row r="196" spans="1:25" ht="15">
      <c r="A196" s="93">
        <f t="shared" si="26"/>
        <v>194</v>
      </c>
      <c r="B196" s="83"/>
      <c r="C196" s="83"/>
      <c r="D196" s="83"/>
      <c r="E196" s="83">
        <v>1</v>
      </c>
      <c r="F196" s="91" t="s">
        <v>85</v>
      </c>
      <c r="G196" s="83"/>
      <c r="H196" s="83">
        <v>0</v>
      </c>
      <c r="I196" s="83">
        <v>0</v>
      </c>
      <c r="J196" s="83">
        <v>0</v>
      </c>
      <c r="K196" s="83">
        <v>0</v>
      </c>
      <c r="L196" s="83">
        <v>0</v>
      </c>
      <c r="M196" s="83">
        <f>VLOOKUP(F196,'Прайс Лазер'!$L$3:$M$9,2,0)</f>
        <v>94</v>
      </c>
      <c r="N196" s="83">
        <v>25</v>
      </c>
      <c r="O196" s="90">
        <f>VLOOKUP(E196,'Прайс Лазер'!$I$4:$J$21,2,0)</f>
        <v>1.1499999999999999</v>
      </c>
      <c r="P196" s="83">
        <f>HLOOKUP('Оценка лазера'!$E196,'Прайс Лазер'!$C$26:$T$34,1+VLOOKUP(F196,'Прайс Лазер'!$A$26:$B$34,2,0),0)</f>
        <v>21.849999999999998</v>
      </c>
      <c r="Q196" s="83">
        <f t="shared" si="27"/>
        <v>0</v>
      </c>
      <c r="R196" s="83">
        <f t="shared" si="28"/>
        <v>0</v>
      </c>
      <c r="S196" s="83">
        <f t="shared" si="29"/>
        <v>0</v>
      </c>
      <c r="T196" s="83">
        <f t="shared" ref="T196:T237" si="31">Q196+R196+S196</f>
        <v>0</v>
      </c>
      <c r="U196" s="83">
        <f t="shared" si="30"/>
        <v>0</v>
      </c>
      <c r="V196" s="94">
        <f t="shared" ref="V196:V237" si="32">U196/1.2</f>
        <v>0</v>
      </c>
    </row>
    <row r="197" spans="1:25" ht="15">
      <c r="A197" s="93">
        <f t="shared" ref="A197:A237" si="33">A196+1</f>
        <v>195</v>
      </c>
      <c r="B197" s="83"/>
      <c r="C197" s="83"/>
      <c r="D197" s="83"/>
      <c r="E197" s="83">
        <v>1</v>
      </c>
      <c r="F197" s="91" t="s">
        <v>85</v>
      </c>
      <c r="G197" s="83"/>
      <c r="H197" s="83">
        <v>0</v>
      </c>
      <c r="I197" s="83">
        <v>0</v>
      </c>
      <c r="J197" s="83">
        <v>0</v>
      </c>
      <c r="K197" s="83">
        <v>0</v>
      </c>
      <c r="L197" s="83">
        <v>0</v>
      </c>
      <c r="M197" s="83">
        <f>VLOOKUP(F197,'Прайс Лазер'!$L$3:$M$9,2,0)</f>
        <v>94</v>
      </c>
      <c r="N197" s="83">
        <v>25</v>
      </c>
      <c r="O197" s="90">
        <f>VLOOKUP(E197,'Прайс Лазер'!$I$4:$J$21,2,0)</f>
        <v>1.1499999999999999</v>
      </c>
      <c r="P197" s="83">
        <f>HLOOKUP('Оценка лазера'!$E197,'Прайс Лазер'!$C$26:$T$34,1+VLOOKUP(F197,'Прайс Лазер'!$A$26:$B$34,2,0),0)</f>
        <v>21.849999999999998</v>
      </c>
      <c r="Q197" s="83">
        <f t="shared" si="27"/>
        <v>0</v>
      </c>
      <c r="R197" s="83">
        <f t="shared" si="28"/>
        <v>0</v>
      </c>
      <c r="S197" s="83">
        <f t="shared" si="29"/>
        <v>0</v>
      </c>
      <c r="T197" s="83">
        <f t="shared" si="31"/>
        <v>0</v>
      </c>
      <c r="U197" s="83">
        <f t="shared" si="30"/>
        <v>0</v>
      </c>
      <c r="V197" s="94">
        <f t="shared" si="32"/>
        <v>0</v>
      </c>
    </row>
    <row r="198" spans="1:25" ht="15">
      <c r="A198" s="93">
        <f t="shared" si="33"/>
        <v>196</v>
      </c>
      <c r="B198" s="83"/>
      <c r="C198" s="83"/>
      <c r="D198" s="83"/>
      <c r="E198" s="83">
        <v>1</v>
      </c>
      <c r="F198" s="91" t="s">
        <v>85</v>
      </c>
      <c r="G198" s="83"/>
      <c r="H198" s="83">
        <v>0</v>
      </c>
      <c r="I198" s="83">
        <v>0</v>
      </c>
      <c r="J198" s="83">
        <v>0</v>
      </c>
      <c r="K198" s="83">
        <v>0</v>
      </c>
      <c r="L198" s="83">
        <v>0</v>
      </c>
      <c r="M198" s="83">
        <f>VLOOKUP(F198,'Прайс Лазер'!$L$3:$M$9,2,0)</f>
        <v>94</v>
      </c>
      <c r="N198" s="83">
        <v>25</v>
      </c>
      <c r="O198" s="90">
        <f>VLOOKUP(E198,'Прайс Лазер'!$I$4:$J$21,2,0)</f>
        <v>1.1499999999999999</v>
      </c>
      <c r="P198" s="83">
        <f>HLOOKUP('Оценка лазера'!$E198,'Прайс Лазер'!$C$26:$T$34,1+VLOOKUP(F198,'Прайс Лазер'!$A$26:$B$34,2,0),0)</f>
        <v>21.849999999999998</v>
      </c>
      <c r="Q198" s="83">
        <f t="shared" si="27"/>
        <v>0</v>
      </c>
      <c r="R198" s="83">
        <f t="shared" si="28"/>
        <v>0</v>
      </c>
      <c r="S198" s="83">
        <f t="shared" si="29"/>
        <v>0</v>
      </c>
      <c r="T198" s="83">
        <f t="shared" si="31"/>
        <v>0</v>
      </c>
      <c r="U198" s="83">
        <f t="shared" si="30"/>
        <v>0</v>
      </c>
      <c r="V198" s="94">
        <f t="shared" si="32"/>
        <v>0</v>
      </c>
    </row>
    <row r="199" spans="1:25" ht="15">
      <c r="A199" s="93">
        <f t="shared" si="33"/>
        <v>197</v>
      </c>
      <c r="B199" s="83"/>
      <c r="C199" s="83"/>
      <c r="D199" s="83"/>
      <c r="E199" s="83">
        <v>1</v>
      </c>
      <c r="F199" s="91" t="s">
        <v>85</v>
      </c>
      <c r="G199" s="83"/>
      <c r="H199" s="83">
        <v>0</v>
      </c>
      <c r="I199" s="83">
        <v>0</v>
      </c>
      <c r="J199" s="83">
        <v>0</v>
      </c>
      <c r="K199" s="83">
        <v>0</v>
      </c>
      <c r="L199" s="83">
        <v>0</v>
      </c>
      <c r="M199" s="83">
        <f>VLOOKUP(F199,'Прайс Лазер'!$L$3:$M$9,2,0)</f>
        <v>94</v>
      </c>
      <c r="N199" s="83">
        <v>25</v>
      </c>
      <c r="O199" s="90">
        <f>VLOOKUP(E199,'Прайс Лазер'!$I$4:$J$21,2,0)</f>
        <v>1.1499999999999999</v>
      </c>
      <c r="P199" s="83">
        <f>HLOOKUP('Оценка лазера'!$E199,'Прайс Лазер'!$C$26:$T$34,1+VLOOKUP(F199,'Прайс Лазер'!$A$26:$B$34,2,0),0)</f>
        <v>21.849999999999998</v>
      </c>
      <c r="Q199" s="83">
        <f t="shared" si="27"/>
        <v>0</v>
      </c>
      <c r="R199" s="83">
        <f t="shared" si="28"/>
        <v>0</v>
      </c>
      <c r="S199" s="83">
        <f t="shared" si="29"/>
        <v>0</v>
      </c>
      <c r="T199" s="83">
        <f t="shared" si="31"/>
        <v>0</v>
      </c>
      <c r="U199" s="83">
        <f t="shared" si="30"/>
        <v>0</v>
      </c>
      <c r="V199" s="94">
        <f t="shared" si="32"/>
        <v>0</v>
      </c>
    </row>
    <row r="200" spans="1:25" ht="15">
      <c r="A200" s="93">
        <f t="shared" si="33"/>
        <v>198</v>
      </c>
      <c r="B200" s="83"/>
      <c r="C200" s="83"/>
      <c r="D200" s="83"/>
      <c r="E200" s="83">
        <v>1</v>
      </c>
      <c r="F200" s="91" t="s">
        <v>85</v>
      </c>
      <c r="G200" s="83"/>
      <c r="H200" s="83">
        <v>0</v>
      </c>
      <c r="I200" s="83">
        <v>0</v>
      </c>
      <c r="J200" s="83">
        <v>0</v>
      </c>
      <c r="K200" s="83">
        <v>0</v>
      </c>
      <c r="L200" s="83">
        <v>0</v>
      </c>
      <c r="M200" s="83">
        <f>VLOOKUP(F200,'Прайс Лазер'!$L$3:$M$9,2,0)</f>
        <v>94</v>
      </c>
      <c r="N200" s="83">
        <v>25</v>
      </c>
      <c r="O200" s="90">
        <f>VLOOKUP(E200,'Прайс Лазер'!$I$4:$J$21,2,0)</f>
        <v>1.1499999999999999</v>
      </c>
      <c r="P200" s="83">
        <f>HLOOKUP('Оценка лазера'!$E200,'Прайс Лазер'!$C$26:$T$34,1+VLOOKUP(F200,'Прайс Лазер'!$A$26:$B$34,2,0),0)</f>
        <v>21.849999999999998</v>
      </c>
      <c r="Q200" s="83">
        <f t="shared" si="27"/>
        <v>0</v>
      </c>
      <c r="R200" s="83">
        <f t="shared" si="28"/>
        <v>0</v>
      </c>
      <c r="S200" s="83">
        <f t="shared" si="29"/>
        <v>0</v>
      </c>
      <c r="T200" s="83">
        <f t="shared" si="31"/>
        <v>0</v>
      </c>
      <c r="U200" s="83">
        <f t="shared" si="30"/>
        <v>0</v>
      </c>
      <c r="V200" s="94">
        <f t="shared" si="32"/>
        <v>0</v>
      </c>
    </row>
    <row r="201" spans="1:25" ht="15">
      <c r="A201" s="93">
        <f t="shared" si="33"/>
        <v>199</v>
      </c>
      <c r="B201" s="83"/>
      <c r="C201" s="83"/>
      <c r="D201" s="83"/>
      <c r="E201" s="83">
        <v>1</v>
      </c>
      <c r="F201" s="91" t="s">
        <v>85</v>
      </c>
      <c r="G201" s="83"/>
      <c r="H201" s="83">
        <v>0</v>
      </c>
      <c r="I201" s="83">
        <v>0</v>
      </c>
      <c r="J201" s="83">
        <v>0</v>
      </c>
      <c r="K201" s="83">
        <v>0</v>
      </c>
      <c r="L201" s="83">
        <v>0</v>
      </c>
      <c r="M201" s="83">
        <f>VLOOKUP(F201,'Прайс Лазер'!$L$3:$M$9,2,0)</f>
        <v>94</v>
      </c>
      <c r="N201" s="83">
        <v>25</v>
      </c>
      <c r="O201" s="90">
        <f>VLOOKUP(E201,'Прайс Лазер'!$I$4:$J$21,2,0)</f>
        <v>1.1499999999999999</v>
      </c>
      <c r="P201" s="83">
        <f>HLOOKUP('Оценка лазера'!$E201,'Прайс Лазер'!$C$26:$T$34,1+VLOOKUP(F201,'Прайс Лазер'!$A$26:$B$34,2,0),0)</f>
        <v>21.849999999999998</v>
      </c>
      <c r="Q201" s="83">
        <f t="shared" si="27"/>
        <v>0</v>
      </c>
      <c r="R201" s="83">
        <f t="shared" si="28"/>
        <v>0</v>
      </c>
      <c r="S201" s="83">
        <f t="shared" si="29"/>
        <v>0</v>
      </c>
      <c r="T201" s="83">
        <f t="shared" si="31"/>
        <v>0</v>
      </c>
      <c r="U201" s="83">
        <f t="shared" si="30"/>
        <v>0</v>
      </c>
      <c r="V201" s="94">
        <f t="shared" si="32"/>
        <v>0</v>
      </c>
    </row>
    <row r="202" spans="1:25" ht="15">
      <c r="A202" s="93">
        <f t="shared" si="33"/>
        <v>200</v>
      </c>
      <c r="B202" s="83"/>
      <c r="C202" s="83"/>
      <c r="D202" s="83"/>
      <c r="E202" s="83">
        <v>1</v>
      </c>
      <c r="F202" s="91" t="s">
        <v>85</v>
      </c>
      <c r="G202" s="83"/>
      <c r="H202" s="83">
        <v>0</v>
      </c>
      <c r="I202" s="83">
        <v>0</v>
      </c>
      <c r="J202" s="83">
        <v>0</v>
      </c>
      <c r="K202" s="83">
        <v>0</v>
      </c>
      <c r="L202" s="83">
        <v>0</v>
      </c>
      <c r="M202" s="83">
        <f>VLOOKUP(F202,'Прайс Лазер'!$L$3:$M$9,2,0)</f>
        <v>94</v>
      </c>
      <c r="N202" s="83">
        <v>25</v>
      </c>
      <c r="O202" s="90">
        <f>VLOOKUP(E202,'Прайс Лазер'!$I$4:$J$21,2,0)</f>
        <v>1.1499999999999999</v>
      </c>
      <c r="P202" s="83">
        <f>HLOOKUP('Оценка лазера'!$E202,'Прайс Лазер'!$C$26:$T$34,1+VLOOKUP(F202,'Прайс Лазер'!$A$26:$B$34,2,0),0)</f>
        <v>21.849999999999998</v>
      </c>
      <c r="Q202" s="83">
        <f t="shared" si="27"/>
        <v>0</v>
      </c>
      <c r="R202" s="83">
        <f t="shared" si="28"/>
        <v>0</v>
      </c>
      <c r="S202" s="83">
        <f t="shared" si="29"/>
        <v>0</v>
      </c>
      <c r="T202" s="83">
        <f t="shared" si="31"/>
        <v>0</v>
      </c>
      <c r="U202" s="83">
        <f t="shared" si="30"/>
        <v>0</v>
      </c>
      <c r="V202" s="94">
        <f t="shared" si="32"/>
        <v>0</v>
      </c>
    </row>
    <row r="203" spans="1:25" ht="15">
      <c r="A203" s="93">
        <f t="shared" si="33"/>
        <v>201</v>
      </c>
      <c r="B203" s="83"/>
      <c r="C203" s="83"/>
      <c r="D203" s="83"/>
      <c r="E203" s="83">
        <v>1</v>
      </c>
      <c r="F203" s="91" t="s">
        <v>85</v>
      </c>
      <c r="G203" s="83"/>
      <c r="H203" s="83">
        <v>0</v>
      </c>
      <c r="I203" s="83">
        <v>0</v>
      </c>
      <c r="J203" s="83">
        <v>0</v>
      </c>
      <c r="K203" s="83">
        <v>0</v>
      </c>
      <c r="L203" s="83">
        <v>0</v>
      </c>
      <c r="M203" s="83">
        <f>VLOOKUP(F203,'Прайс Лазер'!$L$3:$M$9,2,0)</f>
        <v>94</v>
      </c>
      <c r="N203" s="83">
        <v>25</v>
      </c>
      <c r="O203" s="90">
        <f>VLOOKUP(E203,'Прайс Лазер'!$I$4:$J$21,2,0)</f>
        <v>1.1499999999999999</v>
      </c>
      <c r="P203" s="83">
        <f>HLOOKUP('Оценка лазера'!$E203,'Прайс Лазер'!$C$26:$T$34,1+VLOOKUP(F203,'Прайс Лазер'!$A$26:$B$34,2,0),0)</f>
        <v>21.849999999999998</v>
      </c>
      <c r="Q203" s="83">
        <f t="shared" si="27"/>
        <v>0</v>
      </c>
      <c r="R203" s="83">
        <f t="shared" si="28"/>
        <v>0</v>
      </c>
      <c r="S203" s="83">
        <f t="shared" si="29"/>
        <v>0</v>
      </c>
      <c r="T203" s="83">
        <f t="shared" si="31"/>
        <v>0</v>
      </c>
      <c r="U203" s="83">
        <f t="shared" si="30"/>
        <v>0</v>
      </c>
      <c r="V203" s="94">
        <f t="shared" si="32"/>
        <v>0</v>
      </c>
    </row>
    <row r="204" spans="1:25" ht="15">
      <c r="A204" s="93">
        <f t="shared" si="33"/>
        <v>202</v>
      </c>
      <c r="B204" s="83"/>
      <c r="C204" s="83"/>
      <c r="D204" s="83"/>
      <c r="E204" s="83">
        <v>1</v>
      </c>
      <c r="F204" s="91" t="s">
        <v>85</v>
      </c>
      <c r="G204" s="83"/>
      <c r="H204" s="83">
        <v>0</v>
      </c>
      <c r="I204" s="83">
        <v>0</v>
      </c>
      <c r="J204" s="83">
        <v>0</v>
      </c>
      <c r="K204" s="83">
        <v>0</v>
      </c>
      <c r="L204" s="83">
        <v>0</v>
      </c>
      <c r="M204" s="83">
        <f>VLOOKUP(F204,'Прайс Лазер'!$L$3:$M$9,2,0)</f>
        <v>94</v>
      </c>
      <c r="N204" s="83">
        <v>25</v>
      </c>
      <c r="O204" s="90">
        <f>VLOOKUP(E204,'Прайс Лазер'!$I$4:$J$21,2,0)</f>
        <v>1.1499999999999999</v>
      </c>
      <c r="P204" s="83">
        <f>HLOOKUP('Оценка лазера'!$E204,'Прайс Лазер'!$C$26:$T$34,1+VLOOKUP(F204,'Прайс Лазер'!$A$26:$B$34,2,0),0)</f>
        <v>21.849999999999998</v>
      </c>
      <c r="Q204" s="83">
        <f t="shared" si="27"/>
        <v>0</v>
      </c>
      <c r="R204" s="83">
        <f t="shared" si="28"/>
        <v>0</v>
      </c>
      <c r="S204" s="83">
        <f t="shared" si="29"/>
        <v>0</v>
      </c>
      <c r="T204" s="83">
        <f t="shared" si="31"/>
        <v>0</v>
      </c>
      <c r="U204" s="83">
        <f t="shared" si="30"/>
        <v>0</v>
      </c>
      <c r="V204" s="94">
        <f t="shared" si="32"/>
        <v>0</v>
      </c>
    </row>
    <row r="205" spans="1:25" ht="15">
      <c r="A205" s="93">
        <f t="shared" si="33"/>
        <v>203</v>
      </c>
      <c r="B205" s="83"/>
      <c r="C205" s="83"/>
      <c r="D205" s="83"/>
      <c r="E205" s="83">
        <v>1</v>
      </c>
      <c r="F205" s="91" t="s">
        <v>85</v>
      </c>
      <c r="G205" s="83"/>
      <c r="H205" s="83">
        <v>0</v>
      </c>
      <c r="I205" s="83">
        <v>0</v>
      </c>
      <c r="J205" s="83">
        <v>0</v>
      </c>
      <c r="K205" s="83">
        <v>0</v>
      </c>
      <c r="L205" s="83">
        <v>0</v>
      </c>
      <c r="M205" s="83">
        <f>VLOOKUP(F205,'Прайс Лазер'!$L$3:$M$9,2,0)</f>
        <v>94</v>
      </c>
      <c r="N205" s="83">
        <v>25</v>
      </c>
      <c r="O205" s="90">
        <f>VLOOKUP(E205,'Прайс Лазер'!$I$4:$J$21,2,0)</f>
        <v>1.1499999999999999</v>
      </c>
      <c r="P205" s="83">
        <f>HLOOKUP('Оценка лазера'!$E205,'Прайс Лазер'!$C$26:$T$34,1+VLOOKUP(F205,'Прайс Лазер'!$A$26:$B$34,2,0),0)</f>
        <v>21.849999999999998</v>
      </c>
      <c r="Q205" s="83">
        <f t="shared" si="27"/>
        <v>0</v>
      </c>
      <c r="R205" s="83">
        <f t="shared" si="28"/>
        <v>0</v>
      </c>
      <c r="S205" s="83">
        <f t="shared" si="29"/>
        <v>0</v>
      </c>
      <c r="T205" s="83">
        <f t="shared" si="31"/>
        <v>0</v>
      </c>
      <c r="U205" s="83">
        <f t="shared" si="30"/>
        <v>0</v>
      </c>
      <c r="V205" s="94">
        <f t="shared" si="32"/>
        <v>0</v>
      </c>
    </row>
    <row r="206" spans="1:25" ht="15">
      <c r="A206" s="93">
        <f t="shared" si="33"/>
        <v>204</v>
      </c>
      <c r="B206" s="83"/>
      <c r="C206" s="83"/>
      <c r="D206" s="83"/>
      <c r="E206" s="83">
        <v>1</v>
      </c>
      <c r="F206" s="91" t="s">
        <v>85</v>
      </c>
      <c r="G206" s="83"/>
      <c r="H206" s="83">
        <v>0</v>
      </c>
      <c r="I206" s="83">
        <v>0</v>
      </c>
      <c r="J206" s="83">
        <v>0</v>
      </c>
      <c r="K206" s="83">
        <v>0</v>
      </c>
      <c r="L206" s="83">
        <v>0</v>
      </c>
      <c r="M206" s="83">
        <f>VLOOKUP(F206,'Прайс Лазер'!$L$3:$M$9,2,0)</f>
        <v>94</v>
      </c>
      <c r="N206" s="83">
        <v>25</v>
      </c>
      <c r="O206" s="90">
        <f>VLOOKUP(E206,'Прайс Лазер'!$I$4:$J$21,2,0)</f>
        <v>1.1499999999999999</v>
      </c>
      <c r="P206" s="83">
        <f>HLOOKUP('Оценка лазера'!$E206,'Прайс Лазер'!$C$26:$T$34,1+VLOOKUP(F206,'Прайс Лазер'!$A$26:$B$34,2,0),0)</f>
        <v>21.849999999999998</v>
      </c>
      <c r="Q206" s="83">
        <f t="shared" si="27"/>
        <v>0</v>
      </c>
      <c r="R206" s="83">
        <f t="shared" si="28"/>
        <v>0</v>
      </c>
      <c r="S206" s="83">
        <f t="shared" si="29"/>
        <v>0</v>
      </c>
      <c r="T206" s="83">
        <f t="shared" si="31"/>
        <v>0</v>
      </c>
      <c r="U206" s="83">
        <f t="shared" si="30"/>
        <v>0</v>
      </c>
      <c r="V206" s="94">
        <f t="shared" si="32"/>
        <v>0</v>
      </c>
      <c r="Y206" s="12"/>
    </row>
    <row r="207" spans="1:25" ht="15">
      <c r="A207" s="93">
        <f t="shared" si="33"/>
        <v>205</v>
      </c>
      <c r="B207" s="83"/>
      <c r="C207" s="83"/>
      <c r="D207" s="83"/>
      <c r="E207" s="83">
        <v>1</v>
      </c>
      <c r="F207" s="91" t="s">
        <v>85</v>
      </c>
      <c r="G207" s="83"/>
      <c r="H207" s="83">
        <v>0</v>
      </c>
      <c r="I207" s="83">
        <v>0</v>
      </c>
      <c r="J207" s="83">
        <v>0</v>
      </c>
      <c r="K207" s="83">
        <v>0</v>
      </c>
      <c r="L207" s="83">
        <v>0</v>
      </c>
      <c r="M207" s="83">
        <f>VLOOKUP(F207,'Прайс Лазер'!$L$3:$M$9,2,0)</f>
        <v>94</v>
      </c>
      <c r="N207" s="83">
        <v>25</v>
      </c>
      <c r="O207" s="90">
        <f>VLOOKUP(E207,'Прайс Лазер'!$I$4:$J$21,2,0)</f>
        <v>1.1499999999999999</v>
      </c>
      <c r="P207" s="83">
        <f>HLOOKUP('Оценка лазера'!$E207,'Прайс Лазер'!$C$26:$T$34,1+VLOOKUP(F207,'Прайс Лазер'!$A$26:$B$34,2,0),0)</f>
        <v>21.849999999999998</v>
      </c>
      <c r="Q207" s="83">
        <f t="shared" si="27"/>
        <v>0</v>
      </c>
      <c r="R207" s="83">
        <f t="shared" si="28"/>
        <v>0</v>
      </c>
      <c r="S207" s="83">
        <f t="shared" si="29"/>
        <v>0</v>
      </c>
      <c r="T207" s="83">
        <f t="shared" si="31"/>
        <v>0</v>
      </c>
      <c r="U207" s="83">
        <f t="shared" si="30"/>
        <v>0</v>
      </c>
      <c r="V207" s="94">
        <f t="shared" si="32"/>
        <v>0</v>
      </c>
    </row>
    <row r="208" spans="1:25" ht="15">
      <c r="A208" s="93">
        <f t="shared" si="33"/>
        <v>206</v>
      </c>
      <c r="B208" s="83"/>
      <c r="C208" s="83"/>
      <c r="D208" s="83"/>
      <c r="E208" s="83">
        <v>1</v>
      </c>
      <c r="F208" s="91" t="s">
        <v>85</v>
      </c>
      <c r="G208" s="83"/>
      <c r="H208" s="83">
        <v>0</v>
      </c>
      <c r="I208" s="83">
        <v>0</v>
      </c>
      <c r="J208" s="83">
        <v>0</v>
      </c>
      <c r="K208" s="83">
        <v>0</v>
      </c>
      <c r="L208" s="83">
        <v>0</v>
      </c>
      <c r="M208" s="83">
        <f>VLOOKUP(F208,'Прайс Лазер'!$L$3:$M$9,2,0)</f>
        <v>94</v>
      </c>
      <c r="N208" s="83">
        <v>25</v>
      </c>
      <c r="O208" s="90">
        <f>VLOOKUP(E208,'Прайс Лазер'!$I$4:$J$21,2,0)</f>
        <v>1.1499999999999999</v>
      </c>
      <c r="P208" s="83">
        <f>HLOOKUP('Оценка лазера'!$E208,'Прайс Лазер'!$C$26:$T$34,1+VLOOKUP(F208,'Прайс Лазер'!$A$26:$B$34,2,0),0)</f>
        <v>21.849999999999998</v>
      </c>
      <c r="Q208" s="83">
        <f t="shared" si="27"/>
        <v>0</v>
      </c>
      <c r="R208" s="83">
        <f t="shared" si="28"/>
        <v>0</v>
      </c>
      <c r="S208" s="83">
        <f t="shared" si="29"/>
        <v>0</v>
      </c>
      <c r="T208" s="83">
        <f t="shared" si="31"/>
        <v>0</v>
      </c>
      <c r="U208" s="83">
        <f t="shared" si="30"/>
        <v>0</v>
      </c>
      <c r="V208" s="94">
        <f t="shared" si="32"/>
        <v>0</v>
      </c>
    </row>
    <row r="209" spans="1:22" ht="15">
      <c r="A209" s="93">
        <f t="shared" si="33"/>
        <v>207</v>
      </c>
      <c r="B209" s="83"/>
      <c r="C209" s="83"/>
      <c r="D209" s="83"/>
      <c r="E209" s="83">
        <v>1</v>
      </c>
      <c r="F209" s="91" t="s">
        <v>85</v>
      </c>
      <c r="G209" s="83"/>
      <c r="H209" s="83">
        <v>0</v>
      </c>
      <c r="I209" s="83">
        <v>0</v>
      </c>
      <c r="J209" s="83">
        <v>0</v>
      </c>
      <c r="K209" s="83">
        <v>0</v>
      </c>
      <c r="L209" s="83">
        <v>0</v>
      </c>
      <c r="M209" s="83">
        <f>VLOOKUP(F209,'Прайс Лазер'!$L$3:$M$9,2,0)</f>
        <v>94</v>
      </c>
      <c r="N209" s="83">
        <v>25</v>
      </c>
      <c r="O209" s="90">
        <f>VLOOKUP(E209,'Прайс Лазер'!$I$4:$J$21,2,0)</f>
        <v>1.1499999999999999</v>
      </c>
      <c r="P209" s="83">
        <f>HLOOKUP('Оценка лазера'!$E209,'Прайс Лазер'!$C$26:$T$34,1+VLOOKUP(F209,'Прайс Лазер'!$A$26:$B$34,2,0),0)</f>
        <v>21.849999999999998</v>
      </c>
      <c r="Q209" s="83">
        <f t="shared" si="27"/>
        <v>0</v>
      </c>
      <c r="R209" s="83">
        <f t="shared" si="28"/>
        <v>0</v>
      </c>
      <c r="S209" s="83">
        <f t="shared" si="29"/>
        <v>0</v>
      </c>
      <c r="T209" s="83">
        <f t="shared" si="31"/>
        <v>0</v>
      </c>
      <c r="U209" s="83">
        <f t="shared" si="30"/>
        <v>0</v>
      </c>
      <c r="V209" s="94">
        <f t="shared" si="32"/>
        <v>0</v>
      </c>
    </row>
    <row r="210" spans="1:22" ht="15">
      <c r="A210" s="93">
        <f t="shared" si="33"/>
        <v>208</v>
      </c>
      <c r="B210" s="83"/>
      <c r="C210" s="83"/>
      <c r="D210" s="83"/>
      <c r="E210" s="83">
        <v>1</v>
      </c>
      <c r="F210" s="91" t="s">
        <v>85</v>
      </c>
      <c r="G210" s="83"/>
      <c r="H210" s="83">
        <v>0</v>
      </c>
      <c r="I210" s="83">
        <v>0</v>
      </c>
      <c r="J210" s="83">
        <v>0</v>
      </c>
      <c r="K210" s="83">
        <v>0</v>
      </c>
      <c r="L210" s="83">
        <v>0</v>
      </c>
      <c r="M210" s="83">
        <f>VLOOKUP(F210,'Прайс Лазер'!$L$3:$M$9,2,0)</f>
        <v>94</v>
      </c>
      <c r="N210" s="83">
        <v>25</v>
      </c>
      <c r="O210" s="90">
        <f>VLOOKUP(E210,'Прайс Лазер'!$I$4:$J$21,2,0)</f>
        <v>1.1499999999999999</v>
      </c>
      <c r="P210" s="83">
        <f>HLOOKUP('Оценка лазера'!$E210,'Прайс Лазер'!$C$26:$T$34,1+VLOOKUP(F210,'Прайс Лазер'!$A$26:$B$34,2,0),0)</f>
        <v>21.849999999999998</v>
      </c>
      <c r="Q210" s="83">
        <f t="shared" si="27"/>
        <v>0</v>
      </c>
      <c r="R210" s="83">
        <f t="shared" si="28"/>
        <v>0</v>
      </c>
      <c r="S210" s="83">
        <f t="shared" si="29"/>
        <v>0</v>
      </c>
      <c r="T210" s="83">
        <f t="shared" si="31"/>
        <v>0</v>
      </c>
      <c r="U210" s="83">
        <f t="shared" si="30"/>
        <v>0</v>
      </c>
      <c r="V210" s="94">
        <f t="shared" si="32"/>
        <v>0</v>
      </c>
    </row>
    <row r="211" spans="1:22" ht="15">
      <c r="A211" s="93">
        <f t="shared" si="33"/>
        <v>209</v>
      </c>
      <c r="B211" s="83"/>
      <c r="C211" s="83"/>
      <c r="D211" s="83"/>
      <c r="E211" s="83">
        <v>1</v>
      </c>
      <c r="F211" s="91" t="s">
        <v>85</v>
      </c>
      <c r="G211" s="83"/>
      <c r="H211" s="83">
        <v>0</v>
      </c>
      <c r="I211" s="83">
        <v>0</v>
      </c>
      <c r="J211" s="83">
        <v>0</v>
      </c>
      <c r="K211" s="83">
        <v>0</v>
      </c>
      <c r="L211" s="83">
        <v>0</v>
      </c>
      <c r="M211" s="83">
        <f>VLOOKUP(F211,'Прайс Лазер'!$L$3:$M$9,2,0)</f>
        <v>94</v>
      </c>
      <c r="N211" s="83">
        <v>25</v>
      </c>
      <c r="O211" s="90">
        <f>VLOOKUP(E211,'Прайс Лазер'!$I$4:$J$21,2,0)</f>
        <v>1.1499999999999999</v>
      </c>
      <c r="P211" s="83">
        <f>HLOOKUP('Оценка лазера'!$E211,'Прайс Лазер'!$C$26:$T$34,1+VLOOKUP(F211,'Прайс Лазер'!$A$26:$B$34,2,0),0)</f>
        <v>21.849999999999998</v>
      </c>
      <c r="Q211" s="83">
        <f t="shared" si="27"/>
        <v>0</v>
      </c>
      <c r="R211" s="83">
        <f t="shared" si="28"/>
        <v>0</v>
      </c>
      <c r="S211" s="83">
        <f t="shared" si="29"/>
        <v>0</v>
      </c>
      <c r="T211" s="83">
        <f t="shared" si="31"/>
        <v>0</v>
      </c>
      <c r="U211" s="83">
        <f t="shared" si="30"/>
        <v>0</v>
      </c>
      <c r="V211" s="94">
        <f t="shared" si="32"/>
        <v>0</v>
      </c>
    </row>
    <row r="212" spans="1:22" ht="15">
      <c r="A212" s="93">
        <f t="shared" si="33"/>
        <v>210</v>
      </c>
      <c r="B212" s="83"/>
      <c r="C212" s="83"/>
      <c r="D212" s="83"/>
      <c r="E212" s="83">
        <v>1</v>
      </c>
      <c r="F212" s="91" t="s">
        <v>85</v>
      </c>
      <c r="G212" s="83"/>
      <c r="H212" s="83">
        <v>0</v>
      </c>
      <c r="I212" s="83">
        <v>0</v>
      </c>
      <c r="J212" s="83">
        <v>0</v>
      </c>
      <c r="K212" s="83">
        <v>0</v>
      </c>
      <c r="L212" s="83">
        <v>0</v>
      </c>
      <c r="M212" s="83">
        <f>VLOOKUP(F212,'Прайс Лазер'!$L$3:$M$9,2,0)</f>
        <v>94</v>
      </c>
      <c r="N212" s="83">
        <v>25</v>
      </c>
      <c r="O212" s="90">
        <f>VLOOKUP(E212,'Прайс Лазер'!$I$4:$J$21,2,0)</f>
        <v>1.1499999999999999</v>
      </c>
      <c r="P212" s="83">
        <f>HLOOKUP('Оценка лазера'!$E212,'Прайс Лазер'!$C$26:$T$34,1+VLOOKUP(F212,'Прайс Лазер'!$A$26:$B$34,2,0),0)</f>
        <v>21.849999999999998</v>
      </c>
      <c r="Q212" s="83">
        <f t="shared" si="27"/>
        <v>0</v>
      </c>
      <c r="R212" s="83">
        <f t="shared" si="28"/>
        <v>0</v>
      </c>
      <c r="S212" s="83">
        <f t="shared" si="29"/>
        <v>0</v>
      </c>
      <c r="T212" s="83">
        <f t="shared" si="31"/>
        <v>0</v>
      </c>
      <c r="U212" s="83">
        <f t="shared" si="30"/>
        <v>0</v>
      </c>
      <c r="V212" s="94">
        <f t="shared" si="32"/>
        <v>0</v>
      </c>
    </row>
    <row r="213" spans="1:22" ht="15">
      <c r="A213" s="93">
        <f t="shared" si="33"/>
        <v>211</v>
      </c>
      <c r="B213" s="83"/>
      <c r="C213" s="83"/>
      <c r="D213" s="83"/>
      <c r="E213" s="83">
        <v>1</v>
      </c>
      <c r="F213" s="91" t="s">
        <v>85</v>
      </c>
      <c r="G213" s="83"/>
      <c r="H213" s="83">
        <v>0</v>
      </c>
      <c r="I213" s="83">
        <v>0</v>
      </c>
      <c r="J213" s="83">
        <v>0</v>
      </c>
      <c r="K213" s="83">
        <v>0</v>
      </c>
      <c r="L213" s="83">
        <v>0</v>
      </c>
      <c r="M213" s="83">
        <f>VLOOKUP(F213,'Прайс Лазер'!$L$3:$M$9,2,0)</f>
        <v>94</v>
      </c>
      <c r="N213" s="83">
        <v>25</v>
      </c>
      <c r="O213" s="90">
        <f>VLOOKUP(E213,'Прайс Лазер'!$I$4:$J$21,2,0)</f>
        <v>1.1499999999999999</v>
      </c>
      <c r="P213" s="83">
        <f>HLOOKUP('Оценка лазера'!$E213,'Прайс Лазер'!$C$26:$T$34,1+VLOOKUP(F213,'Прайс Лазер'!$A$26:$B$34,2,0),0)</f>
        <v>21.849999999999998</v>
      </c>
      <c r="Q213" s="83">
        <f t="shared" si="27"/>
        <v>0</v>
      </c>
      <c r="R213" s="83">
        <f t="shared" si="28"/>
        <v>0</v>
      </c>
      <c r="S213" s="83">
        <f t="shared" si="29"/>
        <v>0</v>
      </c>
      <c r="T213" s="83">
        <f t="shared" si="31"/>
        <v>0</v>
      </c>
      <c r="U213" s="83">
        <f t="shared" si="30"/>
        <v>0</v>
      </c>
      <c r="V213" s="94">
        <f t="shared" si="32"/>
        <v>0</v>
      </c>
    </row>
    <row r="214" spans="1:22" ht="15">
      <c r="A214" s="93">
        <f t="shared" si="33"/>
        <v>212</v>
      </c>
      <c r="B214" s="83"/>
      <c r="C214" s="83"/>
      <c r="D214" s="83"/>
      <c r="E214" s="83">
        <v>1</v>
      </c>
      <c r="F214" s="91" t="s">
        <v>85</v>
      </c>
      <c r="G214" s="83"/>
      <c r="H214" s="83">
        <v>0</v>
      </c>
      <c r="I214" s="83">
        <v>0</v>
      </c>
      <c r="J214" s="83">
        <v>0</v>
      </c>
      <c r="K214" s="83">
        <v>0</v>
      </c>
      <c r="L214" s="83">
        <v>0</v>
      </c>
      <c r="M214" s="83">
        <f>VLOOKUP(F214,'Прайс Лазер'!$L$3:$M$9,2,0)</f>
        <v>94</v>
      </c>
      <c r="N214" s="83">
        <v>25</v>
      </c>
      <c r="O214" s="90">
        <f>VLOOKUP(E214,'Прайс Лазер'!$I$4:$J$21,2,0)</f>
        <v>1.1499999999999999</v>
      </c>
      <c r="P214" s="83">
        <f>HLOOKUP('Оценка лазера'!$E214,'Прайс Лазер'!$C$26:$T$34,1+VLOOKUP(F214,'Прайс Лазер'!$A$26:$B$34,2,0),0)</f>
        <v>21.849999999999998</v>
      </c>
      <c r="Q214" s="83">
        <f t="shared" si="27"/>
        <v>0</v>
      </c>
      <c r="R214" s="83">
        <f t="shared" si="28"/>
        <v>0</v>
      </c>
      <c r="S214" s="83">
        <f t="shared" si="29"/>
        <v>0</v>
      </c>
      <c r="T214" s="83">
        <f t="shared" si="31"/>
        <v>0</v>
      </c>
      <c r="U214" s="83">
        <f t="shared" si="30"/>
        <v>0</v>
      </c>
      <c r="V214" s="94">
        <f t="shared" si="32"/>
        <v>0</v>
      </c>
    </row>
    <row r="215" spans="1:22" ht="15">
      <c r="A215" s="93">
        <f t="shared" si="33"/>
        <v>213</v>
      </c>
      <c r="B215" s="83"/>
      <c r="C215" s="83"/>
      <c r="D215" s="83"/>
      <c r="E215" s="83">
        <v>1</v>
      </c>
      <c r="F215" s="91" t="s">
        <v>85</v>
      </c>
      <c r="G215" s="83"/>
      <c r="H215" s="83">
        <v>0</v>
      </c>
      <c r="I215" s="83">
        <v>0</v>
      </c>
      <c r="J215" s="83">
        <v>0</v>
      </c>
      <c r="K215" s="83">
        <v>0</v>
      </c>
      <c r="L215" s="83">
        <v>0</v>
      </c>
      <c r="M215" s="83">
        <f>VLOOKUP(F215,'Прайс Лазер'!$L$3:$M$9,2,0)</f>
        <v>94</v>
      </c>
      <c r="N215" s="83">
        <v>25</v>
      </c>
      <c r="O215" s="90">
        <f>VLOOKUP(E215,'Прайс Лазер'!$I$4:$J$21,2,0)</f>
        <v>1.1499999999999999</v>
      </c>
      <c r="P215" s="83">
        <f>HLOOKUP('Оценка лазера'!$E215,'Прайс Лазер'!$C$26:$T$34,1+VLOOKUP(F215,'Прайс Лазер'!$A$26:$B$34,2,0),0)</f>
        <v>21.849999999999998</v>
      </c>
      <c r="Q215" s="83">
        <f t="shared" si="27"/>
        <v>0</v>
      </c>
      <c r="R215" s="83">
        <f t="shared" si="28"/>
        <v>0</v>
      </c>
      <c r="S215" s="83">
        <f t="shared" si="29"/>
        <v>0</v>
      </c>
      <c r="T215" s="83">
        <f t="shared" si="31"/>
        <v>0</v>
      </c>
      <c r="U215" s="83">
        <f t="shared" si="30"/>
        <v>0</v>
      </c>
      <c r="V215" s="94">
        <f t="shared" si="32"/>
        <v>0</v>
      </c>
    </row>
    <row r="216" spans="1:22" ht="15">
      <c r="A216" s="93">
        <f t="shared" si="33"/>
        <v>214</v>
      </c>
      <c r="B216" s="83"/>
      <c r="C216" s="83"/>
      <c r="D216" s="83"/>
      <c r="E216" s="83">
        <v>1</v>
      </c>
      <c r="F216" s="91" t="s">
        <v>85</v>
      </c>
      <c r="G216" s="83"/>
      <c r="H216" s="83">
        <v>0</v>
      </c>
      <c r="I216" s="83">
        <v>0</v>
      </c>
      <c r="J216" s="83">
        <v>0</v>
      </c>
      <c r="K216" s="83">
        <v>0</v>
      </c>
      <c r="L216" s="83">
        <v>0</v>
      </c>
      <c r="M216" s="83">
        <f>VLOOKUP(F216,'Прайс Лазер'!$L$3:$M$9,2,0)</f>
        <v>94</v>
      </c>
      <c r="N216" s="83">
        <v>25</v>
      </c>
      <c r="O216" s="90">
        <f>VLOOKUP(E216,'Прайс Лазер'!$I$4:$J$21,2,0)</f>
        <v>1.1499999999999999</v>
      </c>
      <c r="P216" s="83">
        <f>HLOOKUP('Оценка лазера'!$E216,'Прайс Лазер'!$C$26:$T$34,1+VLOOKUP(F216,'Прайс Лазер'!$A$26:$B$34,2,0),0)</f>
        <v>21.849999999999998</v>
      </c>
      <c r="Q216" s="83">
        <f t="shared" si="27"/>
        <v>0</v>
      </c>
      <c r="R216" s="83">
        <f t="shared" si="28"/>
        <v>0</v>
      </c>
      <c r="S216" s="83">
        <f t="shared" si="29"/>
        <v>0</v>
      </c>
      <c r="T216" s="83">
        <f t="shared" si="31"/>
        <v>0</v>
      </c>
      <c r="U216" s="83">
        <f t="shared" si="30"/>
        <v>0</v>
      </c>
      <c r="V216" s="94">
        <f t="shared" si="32"/>
        <v>0</v>
      </c>
    </row>
    <row r="217" spans="1:22" ht="15">
      <c r="A217" s="93">
        <f t="shared" si="33"/>
        <v>215</v>
      </c>
      <c r="B217" s="83"/>
      <c r="C217" s="83"/>
      <c r="D217" s="83"/>
      <c r="E217" s="83">
        <v>1</v>
      </c>
      <c r="F217" s="91" t="s">
        <v>85</v>
      </c>
      <c r="G217" s="83"/>
      <c r="H217" s="83">
        <v>0</v>
      </c>
      <c r="I217" s="83">
        <v>0</v>
      </c>
      <c r="J217" s="83">
        <v>0</v>
      </c>
      <c r="K217" s="83">
        <v>0</v>
      </c>
      <c r="L217" s="83">
        <v>0</v>
      </c>
      <c r="M217" s="83">
        <f>VLOOKUP(F217,'Прайс Лазер'!$L$3:$M$9,2,0)</f>
        <v>94</v>
      </c>
      <c r="N217" s="83">
        <v>25</v>
      </c>
      <c r="O217" s="90">
        <f>VLOOKUP(E217,'Прайс Лазер'!$I$4:$J$21,2,0)</f>
        <v>1.1499999999999999</v>
      </c>
      <c r="P217" s="83">
        <f>HLOOKUP('Оценка лазера'!$E217,'Прайс Лазер'!$C$26:$T$34,1+VLOOKUP(F217,'Прайс Лазер'!$A$26:$B$34,2,0),0)</f>
        <v>21.849999999999998</v>
      </c>
      <c r="Q217" s="83">
        <f t="shared" si="27"/>
        <v>0</v>
      </c>
      <c r="R217" s="83">
        <f t="shared" si="28"/>
        <v>0</v>
      </c>
      <c r="S217" s="83">
        <f t="shared" si="29"/>
        <v>0</v>
      </c>
      <c r="T217" s="83">
        <f t="shared" si="31"/>
        <v>0</v>
      </c>
      <c r="U217" s="83">
        <f t="shared" si="30"/>
        <v>0</v>
      </c>
      <c r="V217" s="94">
        <f t="shared" si="32"/>
        <v>0</v>
      </c>
    </row>
    <row r="218" spans="1:22" ht="15">
      <c r="A218" s="93">
        <f t="shared" si="33"/>
        <v>216</v>
      </c>
      <c r="B218" s="83"/>
      <c r="C218" s="83"/>
      <c r="D218" s="83"/>
      <c r="E218" s="83">
        <v>1</v>
      </c>
      <c r="F218" s="91" t="s">
        <v>85</v>
      </c>
      <c r="G218" s="83"/>
      <c r="H218" s="83">
        <v>0</v>
      </c>
      <c r="I218" s="83">
        <v>0</v>
      </c>
      <c r="J218" s="83">
        <v>0</v>
      </c>
      <c r="K218" s="83">
        <v>0</v>
      </c>
      <c r="L218" s="83">
        <v>0</v>
      </c>
      <c r="M218" s="83">
        <f>VLOOKUP(F218,'Прайс Лазер'!$L$3:$M$9,2,0)</f>
        <v>94</v>
      </c>
      <c r="N218" s="83">
        <v>25</v>
      </c>
      <c r="O218" s="90">
        <f>VLOOKUP(E218,'Прайс Лазер'!$I$4:$J$21,2,0)</f>
        <v>1.1499999999999999</v>
      </c>
      <c r="P218" s="83">
        <f>HLOOKUP('Оценка лазера'!$E218,'Прайс Лазер'!$C$26:$T$34,1+VLOOKUP(F218,'Прайс Лазер'!$A$26:$B$34,2,0),0)</f>
        <v>21.849999999999998</v>
      </c>
      <c r="Q218" s="83">
        <f t="shared" si="27"/>
        <v>0</v>
      </c>
      <c r="R218" s="83">
        <f t="shared" si="28"/>
        <v>0</v>
      </c>
      <c r="S218" s="83">
        <f t="shared" si="29"/>
        <v>0</v>
      </c>
      <c r="T218" s="83">
        <f t="shared" si="31"/>
        <v>0</v>
      </c>
      <c r="U218" s="83">
        <f t="shared" si="30"/>
        <v>0</v>
      </c>
      <c r="V218" s="94">
        <f t="shared" si="32"/>
        <v>0</v>
      </c>
    </row>
    <row r="219" spans="1:22" ht="15">
      <c r="A219" s="93">
        <f t="shared" si="33"/>
        <v>217</v>
      </c>
      <c r="B219" s="83"/>
      <c r="C219" s="83"/>
      <c r="D219" s="83"/>
      <c r="E219" s="83">
        <v>1</v>
      </c>
      <c r="F219" s="91" t="s">
        <v>85</v>
      </c>
      <c r="G219" s="83"/>
      <c r="H219" s="83">
        <v>0</v>
      </c>
      <c r="I219" s="83">
        <v>0</v>
      </c>
      <c r="J219" s="83">
        <v>0</v>
      </c>
      <c r="K219" s="83">
        <v>0</v>
      </c>
      <c r="L219" s="83">
        <v>0</v>
      </c>
      <c r="M219" s="83">
        <f>VLOOKUP(F219,'Прайс Лазер'!$L$3:$M$9,2,0)</f>
        <v>94</v>
      </c>
      <c r="N219" s="83">
        <v>25</v>
      </c>
      <c r="O219" s="90">
        <f>VLOOKUP(E219,'Прайс Лазер'!$I$4:$J$21,2,0)</f>
        <v>1.1499999999999999</v>
      </c>
      <c r="P219" s="83">
        <f>HLOOKUP('Оценка лазера'!$E219,'Прайс Лазер'!$C$26:$T$34,1+VLOOKUP(F219,'Прайс Лазер'!$A$26:$B$34,2,0),0)</f>
        <v>21.849999999999998</v>
      </c>
      <c r="Q219" s="83">
        <f t="shared" si="27"/>
        <v>0</v>
      </c>
      <c r="R219" s="83">
        <f t="shared" si="28"/>
        <v>0</v>
      </c>
      <c r="S219" s="83">
        <f t="shared" si="29"/>
        <v>0</v>
      </c>
      <c r="T219" s="83">
        <f t="shared" si="31"/>
        <v>0</v>
      </c>
      <c r="U219" s="83">
        <f t="shared" si="30"/>
        <v>0</v>
      </c>
      <c r="V219" s="94">
        <f t="shared" si="32"/>
        <v>0</v>
      </c>
    </row>
    <row r="220" spans="1:22" ht="15">
      <c r="A220" s="93">
        <f t="shared" si="33"/>
        <v>218</v>
      </c>
      <c r="B220" s="83"/>
      <c r="C220" s="83"/>
      <c r="D220" s="83"/>
      <c r="E220" s="83">
        <v>1</v>
      </c>
      <c r="F220" s="91" t="s">
        <v>85</v>
      </c>
      <c r="G220" s="83"/>
      <c r="H220" s="83">
        <v>0</v>
      </c>
      <c r="I220" s="83">
        <v>0</v>
      </c>
      <c r="J220" s="83">
        <v>0</v>
      </c>
      <c r="K220" s="83">
        <v>0</v>
      </c>
      <c r="L220" s="83">
        <v>0</v>
      </c>
      <c r="M220" s="83">
        <f>VLOOKUP(F220,'Прайс Лазер'!$L$3:$M$9,2,0)</f>
        <v>94</v>
      </c>
      <c r="N220" s="83">
        <v>25</v>
      </c>
      <c r="O220" s="90">
        <f>VLOOKUP(E220,'Прайс Лазер'!$I$4:$J$21,2,0)</f>
        <v>1.1499999999999999</v>
      </c>
      <c r="P220" s="83">
        <f>HLOOKUP('Оценка лазера'!$E220,'Прайс Лазер'!$C$26:$T$34,1+VLOOKUP(F220,'Прайс Лазер'!$A$26:$B$34,2,0),0)</f>
        <v>21.849999999999998</v>
      </c>
      <c r="Q220" s="83">
        <f t="shared" si="27"/>
        <v>0</v>
      </c>
      <c r="R220" s="83">
        <f t="shared" si="28"/>
        <v>0</v>
      </c>
      <c r="S220" s="83">
        <f t="shared" si="29"/>
        <v>0</v>
      </c>
      <c r="T220" s="83">
        <f t="shared" si="31"/>
        <v>0</v>
      </c>
      <c r="U220" s="83">
        <f t="shared" si="30"/>
        <v>0</v>
      </c>
      <c r="V220" s="94">
        <f t="shared" si="32"/>
        <v>0</v>
      </c>
    </row>
    <row r="221" spans="1:22" ht="15">
      <c r="A221" s="93">
        <f t="shared" si="33"/>
        <v>219</v>
      </c>
      <c r="B221" s="83"/>
      <c r="C221" s="83"/>
      <c r="D221" s="83"/>
      <c r="E221" s="83">
        <v>1</v>
      </c>
      <c r="F221" s="91" t="s">
        <v>85</v>
      </c>
      <c r="G221" s="83"/>
      <c r="H221" s="83">
        <v>0</v>
      </c>
      <c r="I221" s="83">
        <v>0</v>
      </c>
      <c r="J221" s="83">
        <v>0</v>
      </c>
      <c r="K221" s="83">
        <v>0</v>
      </c>
      <c r="L221" s="83">
        <v>0</v>
      </c>
      <c r="M221" s="83">
        <f>VLOOKUP(F221,'Прайс Лазер'!$L$3:$M$9,2,0)</f>
        <v>94</v>
      </c>
      <c r="N221" s="83">
        <v>25</v>
      </c>
      <c r="O221" s="90">
        <f>VLOOKUP(E221,'Прайс Лазер'!$I$4:$J$21,2,0)</f>
        <v>1.1499999999999999</v>
      </c>
      <c r="P221" s="83">
        <f>HLOOKUP('Оценка лазера'!$E221,'Прайс Лазер'!$C$26:$T$34,1+VLOOKUP(F221,'Прайс Лазер'!$A$26:$B$34,2,0),0)</f>
        <v>21.849999999999998</v>
      </c>
      <c r="Q221" s="83">
        <f t="shared" si="27"/>
        <v>0</v>
      </c>
      <c r="R221" s="83">
        <f t="shared" si="28"/>
        <v>0</v>
      </c>
      <c r="S221" s="83">
        <f t="shared" si="29"/>
        <v>0</v>
      </c>
      <c r="T221" s="83">
        <f t="shared" si="31"/>
        <v>0</v>
      </c>
      <c r="U221" s="83">
        <f t="shared" si="30"/>
        <v>0</v>
      </c>
      <c r="V221" s="94">
        <f t="shared" si="32"/>
        <v>0</v>
      </c>
    </row>
    <row r="222" spans="1:22" ht="15">
      <c r="A222" s="93">
        <f t="shared" si="33"/>
        <v>220</v>
      </c>
      <c r="B222" s="83"/>
      <c r="C222" s="83"/>
      <c r="D222" s="83"/>
      <c r="E222" s="83">
        <v>1</v>
      </c>
      <c r="F222" s="91" t="s">
        <v>85</v>
      </c>
      <c r="G222" s="83"/>
      <c r="H222" s="83">
        <v>0</v>
      </c>
      <c r="I222" s="83">
        <v>0</v>
      </c>
      <c r="J222" s="83">
        <v>0</v>
      </c>
      <c r="K222" s="83">
        <v>0</v>
      </c>
      <c r="L222" s="83">
        <v>0</v>
      </c>
      <c r="M222" s="83">
        <f>VLOOKUP(F222,'Прайс Лазер'!$L$3:$M$9,2,0)</f>
        <v>94</v>
      </c>
      <c r="N222" s="83">
        <v>25</v>
      </c>
      <c r="O222" s="90">
        <f>VLOOKUP(E222,'Прайс Лазер'!$I$4:$J$21,2,0)</f>
        <v>1.1499999999999999</v>
      </c>
      <c r="P222" s="83">
        <f>HLOOKUP('Оценка лазера'!$E222,'Прайс Лазер'!$C$26:$T$34,1+VLOOKUP(F222,'Прайс Лазер'!$A$26:$B$34,2,0),0)</f>
        <v>21.849999999999998</v>
      </c>
      <c r="Q222" s="83">
        <f t="shared" si="27"/>
        <v>0</v>
      </c>
      <c r="R222" s="83">
        <f t="shared" si="28"/>
        <v>0</v>
      </c>
      <c r="S222" s="83">
        <f t="shared" si="29"/>
        <v>0</v>
      </c>
      <c r="T222" s="83">
        <f t="shared" si="31"/>
        <v>0</v>
      </c>
      <c r="U222" s="83">
        <f t="shared" si="30"/>
        <v>0</v>
      </c>
      <c r="V222" s="94">
        <f t="shared" si="32"/>
        <v>0</v>
      </c>
    </row>
    <row r="223" spans="1:22" ht="15">
      <c r="A223" s="93">
        <f t="shared" si="33"/>
        <v>221</v>
      </c>
      <c r="B223" s="83"/>
      <c r="C223" s="83"/>
      <c r="D223" s="83"/>
      <c r="E223" s="83">
        <v>1</v>
      </c>
      <c r="F223" s="91" t="s">
        <v>85</v>
      </c>
      <c r="G223" s="83"/>
      <c r="H223" s="83">
        <v>0</v>
      </c>
      <c r="I223" s="83">
        <v>0</v>
      </c>
      <c r="J223" s="83">
        <v>0</v>
      </c>
      <c r="K223" s="83">
        <v>0</v>
      </c>
      <c r="L223" s="83">
        <v>0</v>
      </c>
      <c r="M223" s="83">
        <f>VLOOKUP(F223,'Прайс Лазер'!$L$3:$M$9,2,0)</f>
        <v>94</v>
      </c>
      <c r="N223" s="83">
        <v>25</v>
      </c>
      <c r="O223" s="90">
        <f>VLOOKUP(E223,'Прайс Лазер'!$I$4:$J$21,2,0)</f>
        <v>1.1499999999999999</v>
      </c>
      <c r="P223" s="83">
        <f>HLOOKUP('Оценка лазера'!$E223,'Прайс Лазер'!$C$26:$T$34,1+VLOOKUP(F223,'Прайс Лазер'!$A$26:$B$34,2,0),0)</f>
        <v>21.849999999999998</v>
      </c>
      <c r="Q223" s="83">
        <f t="shared" si="27"/>
        <v>0</v>
      </c>
      <c r="R223" s="83">
        <f t="shared" si="28"/>
        <v>0</v>
      </c>
      <c r="S223" s="83">
        <f t="shared" si="29"/>
        <v>0</v>
      </c>
      <c r="T223" s="83">
        <f t="shared" si="31"/>
        <v>0</v>
      </c>
      <c r="U223" s="83">
        <f t="shared" si="30"/>
        <v>0</v>
      </c>
      <c r="V223" s="94">
        <f t="shared" si="32"/>
        <v>0</v>
      </c>
    </row>
    <row r="224" spans="1:22" ht="15">
      <c r="A224" s="93">
        <f t="shared" si="33"/>
        <v>222</v>
      </c>
      <c r="B224" s="83"/>
      <c r="C224" s="83"/>
      <c r="D224" s="83"/>
      <c r="E224" s="83">
        <v>1</v>
      </c>
      <c r="F224" s="91" t="s">
        <v>85</v>
      </c>
      <c r="G224" s="83"/>
      <c r="H224" s="83">
        <v>0</v>
      </c>
      <c r="I224" s="83">
        <v>0</v>
      </c>
      <c r="J224" s="83">
        <v>0</v>
      </c>
      <c r="K224" s="83">
        <v>0</v>
      </c>
      <c r="L224" s="83">
        <v>0</v>
      </c>
      <c r="M224" s="83">
        <f>VLOOKUP(F224,'Прайс Лазер'!$L$3:$M$9,2,0)</f>
        <v>94</v>
      </c>
      <c r="N224" s="83">
        <v>25</v>
      </c>
      <c r="O224" s="90">
        <f>VLOOKUP(E224,'Прайс Лазер'!$I$4:$J$21,2,0)</f>
        <v>1.1499999999999999</v>
      </c>
      <c r="P224" s="83">
        <f>HLOOKUP('Оценка лазера'!$E224,'Прайс Лазер'!$C$26:$T$34,1+VLOOKUP(F224,'Прайс Лазер'!$A$26:$B$34,2,0),0)</f>
        <v>21.849999999999998</v>
      </c>
      <c r="Q224" s="83">
        <f t="shared" si="27"/>
        <v>0</v>
      </c>
      <c r="R224" s="83">
        <f t="shared" si="28"/>
        <v>0</v>
      </c>
      <c r="S224" s="83">
        <f t="shared" si="29"/>
        <v>0</v>
      </c>
      <c r="T224" s="83">
        <f t="shared" si="31"/>
        <v>0</v>
      </c>
      <c r="U224" s="83">
        <f t="shared" si="30"/>
        <v>0</v>
      </c>
      <c r="V224" s="94">
        <f t="shared" si="32"/>
        <v>0</v>
      </c>
    </row>
    <row r="225" spans="1:22" ht="15">
      <c r="A225" s="93">
        <f t="shared" si="33"/>
        <v>223</v>
      </c>
      <c r="B225" s="83"/>
      <c r="C225" s="83"/>
      <c r="D225" s="83"/>
      <c r="E225" s="83">
        <v>1</v>
      </c>
      <c r="F225" s="91" t="s">
        <v>85</v>
      </c>
      <c r="G225" s="83"/>
      <c r="H225" s="83">
        <v>0</v>
      </c>
      <c r="I225" s="83">
        <v>0</v>
      </c>
      <c r="J225" s="83">
        <v>0</v>
      </c>
      <c r="K225" s="83">
        <v>0</v>
      </c>
      <c r="L225" s="83">
        <v>0</v>
      </c>
      <c r="M225" s="83">
        <f>VLOOKUP(F225,'Прайс Лазер'!$L$3:$M$9,2,0)</f>
        <v>94</v>
      </c>
      <c r="N225" s="83">
        <v>25</v>
      </c>
      <c r="O225" s="90">
        <f>VLOOKUP(E225,'Прайс Лазер'!$I$4:$J$21,2,0)</f>
        <v>1.1499999999999999</v>
      </c>
      <c r="P225" s="83">
        <f>HLOOKUP('Оценка лазера'!$E225,'Прайс Лазер'!$C$26:$T$34,1+VLOOKUP(F225,'Прайс Лазер'!$A$26:$B$34,2,0),0)</f>
        <v>21.849999999999998</v>
      </c>
      <c r="Q225" s="83">
        <f t="shared" si="27"/>
        <v>0</v>
      </c>
      <c r="R225" s="83">
        <f t="shared" si="28"/>
        <v>0</v>
      </c>
      <c r="S225" s="83">
        <f t="shared" si="29"/>
        <v>0</v>
      </c>
      <c r="T225" s="83">
        <f t="shared" si="31"/>
        <v>0</v>
      </c>
      <c r="U225" s="83">
        <f t="shared" si="30"/>
        <v>0</v>
      </c>
      <c r="V225" s="94">
        <f t="shared" si="32"/>
        <v>0</v>
      </c>
    </row>
    <row r="226" spans="1:22" ht="15">
      <c r="A226" s="93">
        <f t="shared" si="33"/>
        <v>224</v>
      </c>
      <c r="B226" s="83"/>
      <c r="C226" s="83"/>
      <c r="D226" s="83"/>
      <c r="E226" s="83">
        <v>1</v>
      </c>
      <c r="F226" s="91" t="s">
        <v>85</v>
      </c>
      <c r="G226" s="83"/>
      <c r="H226" s="83">
        <v>0</v>
      </c>
      <c r="I226" s="83">
        <v>0</v>
      </c>
      <c r="J226" s="83">
        <v>0</v>
      </c>
      <c r="K226" s="83">
        <v>0</v>
      </c>
      <c r="L226" s="83">
        <v>0</v>
      </c>
      <c r="M226" s="83">
        <f>VLOOKUP(F226,'Прайс Лазер'!$L$3:$M$9,2,0)</f>
        <v>94</v>
      </c>
      <c r="N226" s="83">
        <v>25</v>
      </c>
      <c r="O226" s="90">
        <f>VLOOKUP(E226,'Прайс Лазер'!$I$4:$J$21,2,0)</f>
        <v>1.1499999999999999</v>
      </c>
      <c r="P226" s="83">
        <f>HLOOKUP('Оценка лазера'!$E226,'Прайс Лазер'!$C$26:$T$34,1+VLOOKUP(F226,'Прайс Лазер'!$A$26:$B$34,2,0),0)</f>
        <v>21.849999999999998</v>
      </c>
      <c r="Q226" s="83">
        <f t="shared" si="27"/>
        <v>0</v>
      </c>
      <c r="R226" s="83">
        <f t="shared" si="28"/>
        <v>0</v>
      </c>
      <c r="S226" s="83">
        <f t="shared" si="29"/>
        <v>0</v>
      </c>
      <c r="T226" s="83">
        <f t="shared" si="31"/>
        <v>0</v>
      </c>
      <c r="U226" s="83">
        <f t="shared" si="30"/>
        <v>0</v>
      </c>
      <c r="V226" s="94">
        <f t="shared" si="32"/>
        <v>0</v>
      </c>
    </row>
    <row r="227" spans="1:22" ht="15">
      <c r="A227" s="93">
        <f t="shared" si="33"/>
        <v>225</v>
      </c>
      <c r="B227" s="83"/>
      <c r="C227" s="83"/>
      <c r="D227" s="83"/>
      <c r="E227" s="83">
        <v>1</v>
      </c>
      <c r="F227" s="91" t="s">
        <v>85</v>
      </c>
      <c r="G227" s="83"/>
      <c r="H227" s="83">
        <v>0</v>
      </c>
      <c r="I227" s="83">
        <v>0</v>
      </c>
      <c r="J227" s="83">
        <v>0</v>
      </c>
      <c r="K227" s="83">
        <v>0</v>
      </c>
      <c r="L227" s="83">
        <v>0</v>
      </c>
      <c r="M227" s="83">
        <f>VLOOKUP(F227,'Прайс Лазер'!$L$3:$M$9,2,0)</f>
        <v>94</v>
      </c>
      <c r="N227" s="83">
        <v>25</v>
      </c>
      <c r="O227" s="90">
        <f>VLOOKUP(E227,'Прайс Лазер'!$I$4:$J$21,2,0)</f>
        <v>1.1499999999999999</v>
      </c>
      <c r="P227" s="83">
        <f>HLOOKUP('Оценка лазера'!$E227,'Прайс Лазер'!$C$26:$T$34,1+VLOOKUP(F227,'Прайс Лазер'!$A$26:$B$34,2,0),0)</f>
        <v>21.849999999999998</v>
      </c>
      <c r="Q227" s="83">
        <f t="shared" si="27"/>
        <v>0</v>
      </c>
      <c r="R227" s="83">
        <f t="shared" si="28"/>
        <v>0</v>
      </c>
      <c r="S227" s="83">
        <f t="shared" si="29"/>
        <v>0</v>
      </c>
      <c r="T227" s="83">
        <f t="shared" si="31"/>
        <v>0</v>
      </c>
      <c r="U227" s="83">
        <f t="shared" si="30"/>
        <v>0</v>
      </c>
      <c r="V227" s="94">
        <f t="shared" si="32"/>
        <v>0</v>
      </c>
    </row>
    <row r="228" spans="1:22" ht="15">
      <c r="A228" s="93">
        <f t="shared" si="33"/>
        <v>226</v>
      </c>
      <c r="B228" s="83"/>
      <c r="C228" s="83"/>
      <c r="D228" s="83"/>
      <c r="E228" s="83">
        <v>1</v>
      </c>
      <c r="F228" s="91" t="s">
        <v>85</v>
      </c>
      <c r="G228" s="83"/>
      <c r="H228" s="83">
        <v>0</v>
      </c>
      <c r="I228" s="83">
        <v>0</v>
      </c>
      <c r="J228" s="83">
        <v>0</v>
      </c>
      <c r="K228" s="83">
        <v>0</v>
      </c>
      <c r="L228" s="83">
        <v>0</v>
      </c>
      <c r="M228" s="83">
        <f>VLOOKUP(F228,'Прайс Лазер'!$L$3:$M$9,2,0)</f>
        <v>94</v>
      </c>
      <c r="N228" s="83">
        <v>25</v>
      </c>
      <c r="O228" s="90">
        <f>VLOOKUP(E228,'Прайс Лазер'!$I$4:$J$21,2,0)</f>
        <v>1.1499999999999999</v>
      </c>
      <c r="P228" s="83">
        <f>HLOOKUP('Оценка лазера'!$E228,'Прайс Лазер'!$C$26:$T$34,1+VLOOKUP(F228,'Прайс Лазер'!$A$26:$B$34,2,0),0)</f>
        <v>21.849999999999998</v>
      </c>
      <c r="Q228" s="83">
        <f t="shared" si="27"/>
        <v>0</v>
      </c>
      <c r="R228" s="83">
        <f t="shared" si="28"/>
        <v>0</v>
      </c>
      <c r="S228" s="83">
        <f t="shared" si="29"/>
        <v>0</v>
      </c>
      <c r="T228" s="83">
        <f t="shared" si="31"/>
        <v>0</v>
      </c>
      <c r="U228" s="83">
        <f t="shared" si="30"/>
        <v>0</v>
      </c>
      <c r="V228" s="94">
        <f t="shared" si="32"/>
        <v>0</v>
      </c>
    </row>
    <row r="229" spans="1:22" ht="15">
      <c r="A229" s="93">
        <f t="shared" si="33"/>
        <v>227</v>
      </c>
      <c r="B229" s="83"/>
      <c r="C229" s="83"/>
      <c r="D229" s="83"/>
      <c r="E229" s="83">
        <v>1</v>
      </c>
      <c r="F229" s="91" t="s">
        <v>85</v>
      </c>
      <c r="G229" s="83"/>
      <c r="H229" s="83">
        <v>0</v>
      </c>
      <c r="I229" s="83">
        <v>0</v>
      </c>
      <c r="J229" s="83">
        <v>0</v>
      </c>
      <c r="K229" s="83">
        <v>0</v>
      </c>
      <c r="L229" s="83">
        <v>0</v>
      </c>
      <c r="M229" s="83">
        <f>VLOOKUP(F229,'Прайс Лазер'!$L$3:$M$9,2,0)</f>
        <v>94</v>
      </c>
      <c r="N229" s="83">
        <v>25</v>
      </c>
      <c r="O229" s="90">
        <f>VLOOKUP(E229,'Прайс Лазер'!$I$4:$J$21,2,0)</f>
        <v>1.1499999999999999</v>
      </c>
      <c r="P229" s="83">
        <f>HLOOKUP('Оценка лазера'!$E229,'Прайс Лазер'!$C$26:$T$34,1+VLOOKUP(F229,'Прайс Лазер'!$A$26:$B$34,2,0),0)</f>
        <v>21.849999999999998</v>
      </c>
      <c r="Q229" s="83">
        <f t="shared" si="27"/>
        <v>0</v>
      </c>
      <c r="R229" s="83">
        <f t="shared" si="28"/>
        <v>0</v>
      </c>
      <c r="S229" s="83">
        <f t="shared" si="29"/>
        <v>0</v>
      </c>
      <c r="T229" s="83">
        <f t="shared" si="31"/>
        <v>0</v>
      </c>
      <c r="U229" s="83">
        <f t="shared" si="30"/>
        <v>0</v>
      </c>
      <c r="V229" s="94">
        <f t="shared" si="32"/>
        <v>0</v>
      </c>
    </row>
    <row r="230" spans="1:22" ht="15">
      <c r="A230" s="93">
        <f t="shared" si="33"/>
        <v>228</v>
      </c>
      <c r="B230" s="83"/>
      <c r="C230" s="83"/>
      <c r="D230" s="83"/>
      <c r="E230" s="83">
        <v>1</v>
      </c>
      <c r="F230" s="91" t="s">
        <v>85</v>
      </c>
      <c r="G230" s="83"/>
      <c r="H230" s="83">
        <v>0</v>
      </c>
      <c r="I230" s="83">
        <v>0</v>
      </c>
      <c r="J230" s="83">
        <v>0</v>
      </c>
      <c r="K230" s="83">
        <v>0</v>
      </c>
      <c r="L230" s="83">
        <v>0</v>
      </c>
      <c r="M230" s="83">
        <f>VLOOKUP(F230,'Прайс Лазер'!$L$3:$M$9,2,0)</f>
        <v>94</v>
      </c>
      <c r="N230" s="83">
        <v>25</v>
      </c>
      <c r="O230" s="90">
        <f>VLOOKUP(E230,'Прайс Лазер'!$I$4:$J$21,2,0)</f>
        <v>1.1499999999999999</v>
      </c>
      <c r="P230" s="83">
        <f>HLOOKUP('Оценка лазера'!$E230,'Прайс Лазер'!$C$26:$T$34,1+VLOOKUP(F230,'Прайс Лазер'!$A$26:$B$34,2,0),0)</f>
        <v>21.849999999999998</v>
      </c>
      <c r="Q230" s="83">
        <f t="shared" si="27"/>
        <v>0</v>
      </c>
      <c r="R230" s="83">
        <f t="shared" si="28"/>
        <v>0</v>
      </c>
      <c r="S230" s="83">
        <f t="shared" si="29"/>
        <v>0</v>
      </c>
      <c r="T230" s="83">
        <f t="shared" si="31"/>
        <v>0</v>
      </c>
      <c r="U230" s="83">
        <f t="shared" si="30"/>
        <v>0</v>
      </c>
      <c r="V230" s="94">
        <f t="shared" si="32"/>
        <v>0</v>
      </c>
    </row>
    <row r="231" spans="1:22" ht="15">
      <c r="A231" s="93">
        <f t="shared" si="33"/>
        <v>229</v>
      </c>
      <c r="B231" s="83"/>
      <c r="C231" s="83"/>
      <c r="D231" s="83"/>
      <c r="E231" s="83">
        <v>1</v>
      </c>
      <c r="F231" s="91" t="s">
        <v>85</v>
      </c>
      <c r="G231" s="83"/>
      <c r="H231" s="83">
        <v>0</v>
      </c>
      <c r="I231" s="83">
        <v>0</v>
      </c>
      <c r="J231" s="83">
        <v>0</v>
      </c>
      <c r="K231" s="83">
        <v>0</v>
      </c>
      <c r="L231" s="83">
        <v>0</v>
      </c>
      <c r="M231" s="83">
        <f>VLOOKUP(F231,'Прайс Лазер'!$L$3:$M$9,2,0)</f>
        <v>94</v>
      </c>
      <c r="N231" s="83">
        <v>25</v>
      </c>
      <c r="O231" s="90">
        <f>VLOOKUP(E231,'Прайс Лазер'!$I$4:$J$21,2,0)</f>
        <v>1.1499999999999999</v>
      </c>
      <c r="P231" s="83">
        <f>HLOOKUP('Оценка лазера'!$E231,'Прайс Лазер'!$C$26:$T$34,1+VLOOKUP(F231,'Прайс Лазер'!$A$26:$B$34,2,0),0)</f>
        <v>21.849999999999998</v>
      </c>
      <c r="Q231" s="83">
        <f t="shared" si="27"/>
        <v>0</v>
      </c>
      <c r="R231" s="83">
        <f t="shared" si="28"/>
        <v>0</v>
      </c>
      <c r="S231" s="83">
        <f t="shared" si="29"/>
        <v>0</v>
      </c>
      <c r="T231" s="83">
        <f t="shared" si="31"/>
        <v>0</v>
      </c>
      <c r="U231" s="83">
        <f t="shared" si="30"/>
        <v>0</v>
      </c>
      <c r="V231" s="94">
        <f t="shared" si="32"/>
        <v>0</v>
      </c>
    </row>
    <row r="232" spans="1:22" ht="15">
      <c r="A232" s="93">
        <f t="shared" si="33"/>
        <v>230</v>
      </c>
      <c r="B232" s="83"/>
      <c r="C232" s="83"/>
      <c r="D232" s="83"/>
      <c r="E232" s="83">
        <v>1</v>
      </c>
      <c r="F232" s="91" t="s">
        <v>85</v>
      </c>
      <c r="G232" s="83"/>
      <c r="H232" s="83">
        <v>0</v>
      </c>
      <c r="I232" s="83">
        <v>0</v>
      </c>
      <c r="J232" s="83">
        <v>0</v>
      </c>
      <c r="K232" s="83">
        <v>0</v>
      </c>
      <c r="L232" s="83">
        <v>0</v>
      </c>
      <c r="M232" s="83">
        <f>VLOOKUP(F232,'Прайс Лазер'!$L$3:$M$9,2,0)</f>
        <v>94</v>
      </c>
      <c r="N232" s="83">
        <v>25</v>
      </c>
      <c r="O232" s="90">
        <f>VLOOKUP(E232,'Прайс Лазер'!$I$4:$J$21,2,0)</f>
        <v>1.1499999999999999</v>
      </c>
      <c r="P232" s="83">
        <f>HLOOKUP('Оценка лазера'!$E232,'Прайс Лазер'!$C$26:$T$34,1+VLOOKUP(F232,'Прайс Лазер'!$A$26:$B$34,2,0),0)</f>
        <v>21.849999999999998</v>
      </c>
      <c r="Q232" s="83">
        <f t="shared" si="27"/>
        <v>0</v>
      </c>
      <c r="R232" s="83">
        <f t="shared" si="28"/>
        <v>0</v>
      </c>
      <c r="S232" s="83">
        <f t="shared" si="29"/>
        <v>0</v>
      </c>
      <c r="T232" s="83">
        <f t="shared" si="31"/>
        <v>0</v>
      </c>
      <c r="U232" s="83">
        <f t="shared" si="30"/>
        <v>0</v>
      </c>
      <c r="V232" s="94">
        <f t="shared" si="32"/>
        <v>0</v>
      </c>
    </row>
    <row r="233" spans="1:22" ht="15">
      <c r="A233" s="93">
        <f t="shared" si="33"/>
        <v>231</v>
      </c>
      <c r="B233" s="83"/>
      <c r="C233" s="83"/>
      <c r="D233" s="83"/>
      <c r="E233" s="83">
        <v>1</v>
      </c>
      <c r="F233" s="91" t="s">
        <v>85</v>
      </c>
      <c r="G233" s="83"/>
      <c r="H233" s="83">
        <v>0</v>
      </c>
      <c r="I233" s="83">
        <v>0</v>
      </c>
      <c r="J233" s="83">
        <v>0</v>
      </c>
      <c r="K233" s="83">
        <v>0</v>
      </c>
      <c r="L233" s="83">
        <v>0</v>
      </c>
      <c r="M233" s="83">
        <f>VLOOKUP(F233,'Прайс Лазер'!$L$3:$M$9,2,0)</f>
        <v>94</v>
      </c>
      <c r="N233" s="83">
        <v>25</v>
      </c>
      <c r="O233" s="90">
        <f>VLOOKUP(E233,'Прайс Лазер'!$I$4:$J$21,2,0)</f>
        <v>1.1499999999999999</v>
      </c>
      <c r="P233" s="83">
        <f>HLOOKUP('Оценка лазера'!$E233,'Прайс Лазер'!$C$26:$T$34,1+VLOOKUP(F233,'Прайс Лазер'!$A$26:$B$34,2,0),0)</f>
        <v>21.849999999999998</v>
      </c>
      <c r="Q233" s="83">
        <f t="shared" si="27"/>
        <v>0</v>
      </c>
      <c r="R233" s="83">
        <f t="shared" si="28"/>
        <v>0</v>
      </c>
      <c r="S233" s="83">
        <f t="shared" si="29"/>
        <v>0</v>
      </c>
      <c r="T233" s="83">
        <f t="shared" si="31"/>
        <v>0</v>
      </c>
      <c r="U233" s="83">
        <f t="shared" si="30"/>
        <v>0</v>
      </c>
      <c r="V233" s="94">
        <f t="shared" si="32"/>
        <v>0</v>
      </c>
    </row>
    <row r="234" spans="1:22" ht="15">
      <c r="A234" s="93">
        <f t="shared" si="33"/>
        <v>232</v>
      </c>
      <c r="B234" s="83"/>
      <c r="C234" s="83"/>
      <c r="D234" s="83"/>
      <c r="E234" s="83">
        <v>1</v>
      </c>
      <c r="F234" s="91" t="s">
        <v>85</v>
      </c>
      <c r="G234" s="83"/>
      <c r="H234" s="83">
        <v>0</v>
      </c>
      <c r="I234" s="83">
        <v>0</v>
      </c>
      <c r="J234" s="83">
        <v>0</v>
      </c>
      <c r="K234" s="83">
        <v>0</v>
      </c>
      <c r="L234" s="83">
        <v>0</v>
      </c>
      <c r="M234" s="83">
        <f>VLOOKUP(F234,'Прайс Лазер'!$L$3:$M$9,2,0)</f>
        <v>94</v>
      </c>
      <c r="N234" s="83">
        <v>25</v>
      </c>
      <c r="O234" s="90">
        <f>VLOOKUP(E234,'Прайс Лазер'!$I$4:$J$21,2,0)</f>
        <v>1.1499999999999999</v>
      </c>
      <c r="P234" s="83">
        <f>HLOOKUP('Оценка лазера'!$E234,'Прайс Лазер'!$C$26:$T$34,1+VLOOKUP(F234,'Прайс Лазер'!$A$26:$B$34,2,0),0)</f>
        <v>21.849999999999998</v>
      </c>
      <c r="Q234" s="83">
        <f t="shared" si="27"/>
        <v>0</v>
      </c>
      <c r="R234" s="83">
        <f t="shared" si="28"/>
        <v>0</v>
      </c>
      <c r="S234" s="83">
        <f t="shared" si="29"/>
        <v>0</v>
      </c>
      <c r="T234" s="83">
        <f t="shared" si="31"/>
        <v>0</v>
      </c>
      <c r="U234" s="83">
        <f t="shared" si="30"/>
        <v>0</v>
      </c>
      <c r="V234" s="94">
        <f t="shared" si="32"/>
        <v>0</v>
      </c>
    </row>
    <row r="235" spans="1:22" ht="15">
      <c r="A235" s="93">
        <f t="shared" si="33"/>
        <v>233</v>
      </c>
      <c r="B235" s="83"/>
      <c r="C235" s="83"/>
      <c r="D235" s="83"/>
      <c r="E235" s="83">
        <v>1</v>
      </c>
      <c r="F235" s="91" t="s">
        <v>85</v>
      </c>
      <c r="G235" s="83"/>
      <c r="H235" s="83">
        <v>0</v>
      </c>
      <c r="I235" s="83">
        <v>0</v>
      </c>
      <c r="J235" s="83">
        <v>0</v>
      </c>
      <c r="K235" s="83">
        <v>0</v>
      </c>
      <c r="L235" s="83">
        <v>0</v>
      </c>
      <c r="M235" s="83">
        <f>VLOOKUP(F235,'Прайс Лазер'!$L$3:$M$9,2,0)</f>
        <v>94</v>
      </c>
      <c r="N235" s="83">
        <v>25</v>
      </c>
      <c r="O235" s="90">
        <f>VLOOKUP(E235,'Прайс Лазер'!$I$4:$J$21,2,0)</f>
        <v>1.1499999999999999</v>
      </c>
      <c r="P235" s="83">
        <f>HLOOKUP('Оценка лазера'!$E235,'Прайс Лазер'!$C$26:$T$34,1+VLOOKUP(F235,'Прайс Лазер'!$A$26:$B$34,2,0),0)</f>
        <v>21.849999999999998</v>
      </c>
      <c r="Q235" s="83">
        <f t="shared" si="27"/>
        <v>0</v>
      </c>
      <c r="R235" s="83">
        <f t="shared" si="28"/>
        <v>0</v>
      </c>
      <c r="S235" s="83">
        <f t="shared" si="29"/>
        <v>0</v>
      </c>
      <c r="T235" s="83">
        <f t="shared" si="31"/>
        <v>0</v>
      </c>
      <c r="U235" s="83">
        <f t="shared" si="30"/>
        <v>0</v>
      </c>
      <c r="V235" s="94">
        <f t="shared" si="32"/>
        <v>0</v>
      </c>
    </row>
    <row r="236" spans="1:22" ht="15">
      <c r="A236" s="93">
        <f t="shared" si="33"/>
        <v>234</v>
      </c>
      <c r="B236" s="83"/>
      <c r="C236" s="83"/>
      <c r="D236" s="83"/>
      <c r="E236" s="83">
        <v>1</v>
      </c>
      <c r="F236" s="91" t="s">
        <v>85</v>
      </c>
      <c r="G236" s="83"/>
      <c r="H236" s="83">
        <v>0</v>
      </c>
      <c r="I236" s="83">
        <v>0</v>
      </c>
      <c r="J236" s="83">
        <v>0</v>
      </c>
      <c r="K236" s="83">
        <v>0</v>
      </c>
      <c r="L236" s="83">
        <v>0</v>
      </c>
      <c r="M236" s="83">
        <f>VLOOKUP(F236,'Прайс Лазер'!$L$3:$M$9,2,0)</f>
        <v>94</v>
      </c>
      <c r="N236" s="83">
        <v>25</v>
      </c>
      <c r="O236" s="90">
        <f>VLOOKUP(E236,'Прайс Лазер'!$I$4:$J$21,2,0)</f>
        <v>1.1499999999999999</v>
      </c>
      <c r="P236" s="83">
        <f>HLOOKUP('Оценка лазера'!$E236,'Прайс Лазер'!$C$26:$T$34,1+VLOOKUP(F236,'Прайс Лазер'!$A$26:$B$34,2,0),0)</f>
        <v>21.849999999999998</v>
      </c>
      <c r="Q236" s="83">
        <f t="shared" si="27"/>
        <v>0</v>
      </c>
      <c r="R236" s="83">
        <f t="shared" si="28"/>
        <v>0</v>
      </c>
      <c r="S236" s="83">
        <f t="shared" si="29"/>
        <v>0</v>
      </c>
      <c r="T236" s="83">
        <f t="shared" si="31"/>
        <v>0</v>
      </c>
      <c r="U236" s="83">
        <f t="shared" si="30"/>
        <v>0</v>
      </c>
      <c r="V236" s="94">
        <f t="shared" si="32"/>
        <v>0</v>
      </c>
    </row>
    <row r="237" spans="1:22" ht="15">
      <c r="A237" s="93">
        <f t="shared" si="33"/>
        <v>235</v>
      </c>
      <c r="B237" s="83"/>
      <c r="C237" s="83"/>
      <c r="D237" s="83"/>
      <c r="E237" s="83">
        <v>1</v>
      </c>
      <c r="F237" s="91" t="s">
        <v>85</v>
      </c>
      <c r="G237" s="83"/>
      <c r="H237" s="83">
        <v>0</v>
      </c>
      <c r="I237" s="83">
        <v>0</v>
      </c>
      <c r="J237" s="83">
        <v>0</v>
      </c>
      <c r="K237" s="83">
        <v>0</v>
      </c>
      <c r="L237" s="83">
        <v>0</v>
      </c>
      <c r="M237" s="83">
        <f>VLOOKUP(F237,'Прайс Лазер'!$L$3:$M$9,2,0)</f>
        <v>94</v>
      </c>
      <c r="N237" s="83">
        <v>25</v>
      </c>
      <c r="O237" s="90">
        <f>VLOOKUP(E237,'Прайс Лазер'!$I$4:$J$21,2,0)</f>
        <v>1.1499999999999999</v>
      </c>
      <c r="P237" s="83">
        <f>HLOOKUP('Оценка лазера'!$E237,'Прайс Лазер'!$C$26:$T$34,1+VLOOKUP(F237,'Прайс Лазер'!$A$26:$B$34,2,0),0)</f>
        <v>21.849999999999998</v>
      </c>
      <c r="Q237" s="83">
        <f t="shared" si="27"/>
        <v>0</v>
      </c>
      <c r="R237" s="83">
        <f t="shared" si="28"/>
        <v>0</v>
      </c>
      <c r="S237" s="83">
        <f t="shared" si="29"/>
        <v>0</v>
      </c>
      <c r="T237" s="83">
        <f t="shared" si="31"/>
        <v>0</v>
      </c>
      <c r="U237" s="83">
        <f t="shared" si="30"/>
        <v>0</v>
      </c>
      <c r="V237" s="94">
        <f t="shared" si="32"/>
        <v>0</v>
      </c>
    </row>
    <row r="238" spans="1:22" ht="15">
      <c r="A238" s="196" t="s">
        <v>70</v>
      </c>
      <c r="B238" s="194"/>
      <c r="C238" s="194"/>
      <c r="D238" s="194"/>
      <c r="E238" s="194"/>
      <c r="F238" s="194"/>
      <c r="G238" s="194"/>
      <c r="H238" s="194"/>
      <c r="I238" s="194"/>
      <c r="J238" s="194"/>
      <c r="K238" s="194"/>
      <c r="L238" s="194"/>
      <c r="M238" s="194"/>
      <c r="N238" s="194"/>
      <c r="O238" s="195"/>
      <c r="P238" s="194"/>
      <c r="Q238" s="194"/>
      <c r="R238" s="194"/>
      <c r="S238" s="194"/>
      <c r="T238" s="194"/>
      <c r="U238" s="194"/>
      <c r="V238" s="197">
        <f>SUM(V3:V237)</f>
        <v>5148.5251851249986</v>
      </c>
    </row>
  </sheetData>
  <mergeCells count="2">
    <mergeCell ref="A1:C1"/>
    <mergeCell ref="D1:E1"/>
  </mergeCell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'Прайс Лазер'!$A$27:$A$34</xm:f>
          </x14:formula1>
          <xm:sqref>F3:F237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2"/>
  <sheetViews>
    <sheetView workbookViewId="0">
      <pane xSplit="4" ySplit="1" topLeftCell="E2" activePane="bottomRight" state="frozen"/>
      <selection pane="topRight" activeCell="E1" sqref="E1"/>
      <selection pane="bottomLeft" activeCell="A2" sqref="A2"/>
      <selection pane="bottomRight" activeCell="N12" sqref="N12"/>
    </sheetView>
  </sheetViews>
  <sheetFormatPr baseColWidth="10" defaultColWidth="8.75" defaultRowHeight="11"/>
  <cols>
    <col min="1" max="1" width="9.25" customWidth="1"/>
    <col min="2" max="2" width="21.25" customWidth="1"/>
    <col min="3" max="3" width="23.5" customWidth="1"/>
    <col min="5" max="5" width="20.75" customWidth="1"/>
    <col min="6" max="6" width="12.25" customWidth="1"/>
    <col min="7" max="8" width="20.75" customWidth="1"/>
    <col min="9" max="9" width="19.25" customWidth="1"/>
    <col min="10" max="10" width="19.75" customWidth="1"/>
    <col min="11" max="11" width="21.75" customWidth="1"/>
    <col min="12" max="12" width="25" customWidth="1"/>
    <col min="13" max="13" width="26.5" customWidth="1"/>
    <col min="14" max="14" width="29.75" customWidth="1"/>
  </cols>
  <sheetData>
    <row r="1" spans="1:14" ht="75" customHeight="1">
      <c r="A1" s="100" t="s">
        <v>29</v>
      </c>
      <c r="B1" s="101" t="s">
        <v>30</v>
      </c>
      <c r="C1" s="101" t="s">
        <v>2</v>
      </c>
      <c r="D1" s="101" t="s">
        <v>31</v>
      </c>
      <c r="E1" s="101" t="s">
        <v>96</v>
      </c>
      <c r="F1" s="101" t="s">
        <v>254</v>
      </c>
      <c r="G1" s="101" t="s">
        <v>32</v>
      </c>
      <c r="H1" s="101" t="s">
        <v>74</v>
      </c>
      <c r="I1" s="101" t="s">
        <v>33</v>
      </c>
      <c r="J1" s="101" t="s">
        <v>94</v>
      </c>
      <c r="K1" s="101" t="s">
        <v>95</v>
      </c>
      <c r="L1" s="101" t="s">
        <v>110</v>
      </c>
      <c r="M1" s="101" t="s">
        <v>109</v>
      </c>
      <c r="N1" s="102" t="s">
        <v>108</v>
      </c>
    </row>
    <row r="2" spans="1:14" ht="16">
      <c r="A2" s="98">
        <v>1</v>
      </c>
      <c r="B2" s="25"/>
      <c r="C2" s="25"/>
      <c r="D2" s="25"/>
      <c r="E2" s="25"/>
      <c r="F2" s="25">
        <f>CEILING(Таблица2[[#This Row],[Толщина, мм]]/5,1)</f>
        <v>0</v>
      </c>
      <c r="G2" s="25"/>
      <c r="H2" s="25"/>
      <c r="I2" s="25"/>
      <c r="J2" s="25"/>
      <c r="K2" s="25"/>
      <c r="L2" s="25">
        <f>D2*H2</f>
        <v>0</v>
      </c>
      <c r="M2" s="25">
        <f t="shared" ref="M2:M51" si="0">((H2*99)/1.2)*D2</f>
        <v>0</v>
      </c>
      <c r="N2" s="99">
        <f>(((J2+K2)/1000*1.1*30*Таблица2[[#This Row],[Кол.проходов]])/1.2)*D2</f>
        <v>0</v>
      </c>
    </row>
    <row r="3" spans="1:14" ht="16">
      <c r="A3" s="98">
        <v>2</v>
      </c>
      <c r="B3" s="25"/>
      <c r="C3" s="25"/>
      <c r="D3" s="25"/>
      <c r="E3" s="25"/>
      <c r="F3" s="25">
        <f>CEILING(Таблица2[[#This Row],[Толщина, мм]]/5,1)</f>
        <v>0</v>
      </c>
      <c r="G3" s="25"/>
      <c r="H3" s="25"/>
      <c r="I3" s="25"/>
      <c r="J3" s="25"/>
      <c r="K3" s="25"/>
      <c r="L3" s="25">
        <f t="shared" ref="L3:L33" si="1">D3*H3</f>
        <v>0</v>
      </c>
      <c r="M3" s="25">
        <f t="shared" si="0"/>
        <v>0</v>
      </c>
      <c r="N3" s="99">
        <f>(((J3+K3)/1000*1.1*30*Таблица2[[#This Row],[Кол.проходов]])/1.2)*D3</f>
        <v>0</v>
      </c>
    </row>
    <row r="4" spans="1:14" ht="16">
      <c r="A4" s="98">
        <v>4</v>
      </c>
      <c r="B4" s="25"/>
      <c r="C4" s="25"/>
      <c r="D4" s="25"/>
      <c r="E4" s="25"/>
      <c r="F4" s="25">
        <f>CEILING(Таблица2[[#This Row],[Толщина, мм]]/5,1)</f>
        <v>0</v>
      </c>
      <c r="G4" s="25"/>
      <c r="H4" s="25"/>
      <c r="I4" s="25"/>
      <c r="J4" s="25"/>
      <c r="K4" s="25"/>
      <c r="L4" s="25">
        <f t="shared" si="1"/>
        <v>0</v>
      </c>
      <c r="M4" s="25">
        <f t="shared" si="0"/>
        <v>0</v>
      </c>
      <c r="N4" s="99">
        <f>(((J4+K4)/1000*1.1*30*Таблица2[[#This Row],[Кол.проходов]])/1.2)*D4</f>
        <v>0</v>
      </c>
    </row>
    <row r="5" spans="1:14" ht="16">
      <c r="A5" s="98">
        <v>6</v>
      </c>
      <c r="B5" s="25"/>
      <c r="C5" s="25"/>
      <c r="D5" s="25"/>
      <c r="E5" s="25"/>
      <c r="F5" s="25">
        <f>CEILING(Таблица2[[#This Row],[Толщина, мм]]/5,1)</f>
        <v>0</v>
      </c>
      <c r="G5" s="25"/>
      <c r="H5" s="25"/>
      <c r="I5" s="25"/>
      <c r="J5" s="25"/>
      <c r="K5" s="25"/>
      <c r="L5" s="25">
        <f t="shared" si="1"/>
        <v>0</v>
      </c>
      <c r="M5" s="25">
        <f t="shared" si="0"/>
        <v>0</v>
      </c>
      <c r="N5" s="99">
        <f>(((J5+K5)/1000*1.1*30*Таблица2[[#This Row],[Кол.проходов]])/1.2)*D5</f>
        <v>0</v>
      </c>
    </row>
    <row r="6" spans="1:14" ht="16">
      <c r="A6" s="98">
        <v>7</v>
      </c>
      <c r="B6" s="25"/>
      <c r="C6" s="25"/>
      <c r="D6" s="25"/>
      <c r="E6" s="25"/>
      <c r="F6" s="25">
        <f>CEILING(Таблица2[[#This Row],[Толщина, мм]]/5,1)</f>
        <v>0</v>
      </c>
      <c r="G6" s="25"/>
      <c r="H6" s="25"/>
      <c r="I6" s="25"/>
      <c r="J6" s="25"/>
      <c r="K6" s="25"/>
      <c r="L6" s="25">
        <f t="shared" si="1"/>
        <v>0</v>
      </c>
      <c r="M6" s="25">
        <f t="shared" si="0"/>
        <v>0</v>
      </c>
      <c r="N6" s="99">
        <f>(((J6+K6)/1000*1.1*30*Таблица2[[#This Row],[Кол.проходов]])/1.2)*D6</f>
        <v>0</v>
      </c>
    </row>
    <row r="7" spans="1:14" ht="16">
      <c r="A7" s="98">
        <v>8</v>
      </c>
      <c r="B7" s="12"/>
      <c r="C7" s="12"/>
      <c r="D7" s="12"/>
      <c r="E7" s="12"/>
      <c r="F7" s="25">
        <f>CEILING(Таблица2[[#This Row],[Толщина, мм]]/5,1)</f>
        <v>0</v>
      </c>
      <c r="G7" s="12"/>
      <c r="H7" s="12"/>
      <c r="I7" s="12"/>
      <c r="J7" s="12"/>
      <c r="K7" s="12"/>
      <c r="L7" s="25">
        <f t="shared" si="1"/>
        <v>0</v>
      </c>
      <c r="M7" s="25">
        <f t="shared" si="0"/>
        <v>0</v>
      </c>
      <c r="N7" s="99">
        <f>(((J7+K7)/1000*1.1*30*Таблица2[[#This Row],[Кол.проходов]])/1.2)*D7</f>
        <v>0</v>
      </c>
    </row>
    <row r="8" spans="1:14" ht="16">
      <c r="A8" s="98">
        <v>9</v>
      </c>
      <c r="B8" s="12"/>
      <c r="C8" s="12"/>
      <c r="D8" s="12"/>
      <c r="E8" s="12"/>
      <c r="F8" s="25">
        <f>CEILING(Таблица2[[#This Row],[Толщина, мм]]/5,1)</f>
        <v>0</v>
      </c>
      <c r="G8" s="12"/>
      <c r="H8" s="12"/>
      <c r="I8" s="12"/>
      <c r="J8" s="12"/>
      <c r="K8" s="12"/>
      <c r="L8" s="25">
        <f t="shared" si="1"/>
        <v>0</v>
      </c>
      <c r="M8" s="25">
        <f t="shared" si="0"/>
        <v>0</v>
      </c>
      <c r="N8" s="99">
        <f>(((J8+K8)/1000*1.1*30*Таблица2[[#This Row],[Кол.проходов]])/1.2)*D8</f>
        <v>0</v>
      </c>
    </row>
    <row r="9" spans="1:14" ht="16">
      <c r="A9" s="98">
        <v>10</v>
      </c>
      <c r="B9" s="12"/>
      <c r="C9" s="12"/>
      <c r="D9" s="12"/>
      <c r="E9" s="12"/>
      <c r="F9" s="25">
        <f>CEILING(Таблица2[[#This Row],[Толщина, мм]]/5,1)</f>
        <v>0</v>
      </c>
      <c r="G9" s="12"/>
      <c r="H9" s="12"/>
      <c r="I9" s="12"/>
      <c r="J9" s="12"/>
      <c r="K9" s="12"/>
      <c r="L9" s="25">
        <f t="shared" si="1"/>
        <v>0</v>
      </c>
      <c r="M9" s="25">
        <f t="shared" si="0"/>
        <v>0</v>
      </c>
      <c r="N9" s="99">
        <f>(((J9+K9)/1000*1.1*30*Таблица2[[#This Row],[Кол.проходов]])/1.2)*D9</f>
        <v>0</v>
      </c>
    </row>
    <row r="10" spans="1:14" ht="16">
      <c r="A10" s="98">
        <v>11</v>
      </c>
      <c r="B10" s="12"/>
      <c r="C10" s="12"/>
      <c r="D10" s="12"/>
      <c r="E10" s="12"/>
      <c r="F10" s="25">
        <f>CEILING(Таблица2[[#This Row],[Толщина, мм]]/5,1)</f>
        <v>0</v>
      </c>
      <c r="G10" s="12"/>
      <c r="H10" s="12"/>
      <c r="I10" s="12"/>
      <c r="J10" s="12"/>
      <c r="K10" s="12"/>
      <c r="L10" s="25">
        <f t="shared" si="1"/>
        <v>0</v>
      </c>
      <c r="M10" s="25">
        <f t="shared" si="0"/>
        <v>0</v>
      </c>
      <c r="N10" s="99">
        <f>(((J10+K10)/1000*1.1*30*Таблица2[[#This Row],[Кол.проходов]])/1.2)*D10</f>
        <v>0</v>
      </c>
    </row>
    <row r="11" spans="1:14" ht="16">
      <c r="A11" s="98">
        <v>12</v>
      </c>
      <c r="B11" s="12"/>
      <c r="C11" s="12"/>
      <c r="D11" s="12"/>
      <c r="E11" s="12"/>
      <c r="F11" s="25">
        <f>CEILING(Таблица2[[#This Row],[Толщина, мм]]/5,1)</f>
        <v>0</v>
      </c>
      <c r="G11" s="12"/>
      <c r="H11" s="12"/>
      <c r="I11" s="12"/>
      <c r="J11" s="12"/>
      <c r="K11" s="12"/>
      <c r="L11" s="25">
        <f t="shared" si="1"/>
        <v>0</v>
      </c>
      <c r="M11" s="25">
        <f t="shared" si="0"/>
        <v>0</v>
      </c>
      <c r="N11" s="99">
        <f>(((J11+K11)/1000*1.1*30*Таблица2[[#This Row],[Кол.проходов]])/1.2)*D11</f>
        <v>0</v>
      </c>
    </row>
    <row r="12" spans="1:14" ht="16">
      <c r="A12" s="98">
        <v>13</v>
      </c>
      <c r="B12" s="12"/>
      <c r="C12" s="12"/>
      <c r="D12" s="12"/>
      <c r="E12" s="12"/>
      <c r="F12" s="25">
        <f>CEILING(Таблица2[[#This Row],[Толщина, мм]]/5,1)</f>
        <v>0</v>
      </c>
      <c r="G12" s="12"/>
      <c r="H12" s="12"/>
      <c r="I12" s="12"/>
      <c r="J12" s="12"/>
      <c r="K12" s="12"/>
      <c r="L12" s="25">
        <f t="shared" si="1"/>
        <v>0</v>
      </c>
      <c r="M12" s="25">
        <f t="shared" si="0"/>
        <v>0</v>
      </c>
      <c r="N12" s="99">
        <f>(((J12+K12)/1000*1.1*30*Таблица2[[#This Row],[Кол.проходов]])/1.2)*D12</f>
        <v>0</v>
      </c>
    </row>
    <row r="13" spans="1:14" ht="16">
      <c r="A13" s="98">
        <v>14</v>
      </c>
      <c r="B13" s="12"/>
      <c r="C13" s="12"/>
      <c r="D13" s="12"/>
      <c r="E13" s="12"/>
      <c r="F13" s="25">
        <f>CEILING(Таблица2[[#This Row],[Толщина, мм]]/5,1)</f>
        <v>0</v>
      </c>
      <c r="G13" s="12"/>
      <c r="H13" s="12"/>
      <c r="I13" s="12"/>
      <c r="J13" s="12"/>
      <c r="K13" s="12"/>
      <c r="L13" s="25">
        <f t="shared" si="1"/>
        <v>0</v>
      </c>
      <c r="M13" s="25">
        <f t="shared" si="0"/>
        <v>0</v>
      </c>
      <c r="N13" s="99">
        <f>(((J13+K13)/1000*1.1*30*Таблица2[[#This Row],[Кол.проходов]])/1.2)*D13</f>
        <v>0</v>
      </c>
    </row>
    <row r="14" spans="1:14" ht="16">
      <c r="A14" s="98">
        <v>15</v>
      </c>
      <c r="B14" s="12"/>
      <c r="C14" s="12"/>
      <c r="D14" s="12"/>
      <c r="E14" s="12"/>
      <c r="F14" s="25">
        <f>CEILING(Таблица2[[#This Row],[Толщина, мм]]/5,1)</f>
        <v>0</v>
      </c>
      <c r="G14" s="12"/>
      <c r="H14" s="12"/>
      <c r="I14" s="12"/>
      <c r="J14" s="12"/>
      <c r="K14" s="12"/>
      <c r="L14" s="25">
        <f t="shared" si="1"/>
        <v>0</v>
      </c>
      <c r="M14" s="25">
        <f t="shared" si="0"/>
        <v>0</v>
      </c>
      <c r="N14" s="99">
        <f>(((J14+K14)/1000*1.1*30*Таблица2[[#This Row],[Кол.проходов]])/1.2)*D14</f>
        <v>0</v>
      </c>
    </row>
    <row r="15" spans="1:14" ht="16">
      <c r="A15" s="98">
        <v>16</v>
      </c>
      <c r="B15" s="12"/>
      <c r="C15" s="12"/>
      <c r="D15" s="12"/>
      <c r="E15" s="12"/>
      <c r="F15" s="25">
        <f>CEILING(Таблица2[[#This Row],[Толщина, мм]]/5,1)</f>
        <v>0</v>
      </c>
      <c r="G15" s="12"/>
      <c r="H15" s="12"/>
      <c r="I15" s="12"/>
      <c r="J15" s="12"/>
      <c r="K15" s="12"/>
      <c r="L15" s="25">
        <f t="shared" si="1"/>
        <v>0</v>
      </c>
      <c r="M15" s="25">
        <f t="shared" si="0"/>
        <v>0</v>
      </c>
      <c r="N15" s="99">
        <f>(((J15+K15)/1000*1.1*30*Таблица2[[#This Row],[Кол.проходов]])/1.2)*D15</f>
        <v>0</v>
      </c>
    </row>
    <row r="16" spans="1:14" ht="16">
      <c r="A16" s="98">
        <v>17</v>
      </c>
      <c r="B16" s="12"/>
      <c r="C16" s="12"/>
      <c r="D16" s="12"/>
      <c r="E16" s="12"/>
      <c r="F16" s="25">
        <f>CEILING(Таблица2[[#This Row],[Толщина, мм]]/5,1)</f>
        <v>0</v>
      </c>
      <c r="G16" s="12"/>
      <c r="H16" s="12"/>
      <c r="I16" s="12"/>
      <c r="J16" s="12"/>
      <c r="K16" s="12"/>
      <c r="L16" s="25">
        <f t="shared" si="1"/>
        <v>0</v>
      </c>
      <c r="M16" s="25">
        <f t="shared" si="0"/>
        <v>0</v>
      </c>
      <c r="N16" s="99">
        <f>(((J16+K16)/1000*1.1*30*Таблица2[[#This Row],[Кол.проходов]])/1.2)*D16</f>
        <v>0</v>
      </c>
    </row>
    <row r="17" spans="1:14" ht="16">
      <c r="A17" s="98">
        <v>18</v>
      </c>
      <c r="B17" s="12"/>
      <c r="C17" s="12"/>
      <c r="D17" s="12"/>
      <c r="E17" s="12"/>
      <c r="F17" s="25">
        <f>CEILING(Таблица2[[#This Row],[Толщина, мм]]/5,1)</f>
        <v>0</v>
      </c>
      <c r="G17" s="12"/>
      <c r="H17" s="12"/>
      <c r="I17" s="12"/>
      <c r="J17" s="12"/>
      <c r="K17" s="12"/>
      <c r="L17" s="25">
        <f t="shared" si="1"/>
        <v>0</v>
      </c>
      <c r="M17" s="25">
        <f t="shared" si="0"/>
        <v>0</v>
      </c>
      <c r="N17" s="99">
        <f>(((J17+K17)/1000*1.1*30*Таблица2[[#This Row],[Кол.проходов]])/1.2)*D17</f>
        <v>0</v>
      </c>
    </row>
    <row r="18" spans="1:14" ht="16">
      <c r="A18" s="98">
        <v>19</v>
      </c>
      <c r="B18" s="12"/>
      <c r="C18" s="12"/>
      <c r="D18" s="12"/>
      <c r="E18" s="12"/>
      <c r="F18" s="25">
        <f>CEILING(Таблица2[[#This Row],[Толщина, мм]]/5,1)</f>
        <v>0</v>
      </c>
      <c r="G18" s="12"/>
      <c r="H18" s="12"/>
      <c r="I18" s="12"/>
      <c r="J18" s="12"/>
      <c r="K18" s="12"/>
      <c r="L18" s="25">
        <f t="shared" si="1"/>
        <v>0</v>
      </c>
      <c r="M18" s="25">
        <f t="shared" si="0"/>
        <v>0</v>
      </c>
      <c r="N18" s="99">
        <f>(((J18+K18)/1000*1.1*30*Таблица2[[#This Row],[Кол.проходов]])/1.2)*D18</f>
        <v>0</v>
      </c>
    </row>
    <row r="19" spans="1:14" ht="16">
      <c r="A19" s="98">
        <v>20</v>
      </c>
      <c r="B19" s="12"/>
      <c r="C19" s="12"/>
      <c r="D19" s="12"/>
      <c r="E19" s="12"/>
      <c r="F19" s="25">
        <f>CEILING(Таблица2[[#This Row],[Толщина, мм]]/5,1)</f>
        <v>0</v>
      </c>
      <c r="G19" s="12"/>
      <c r="H19" s="12"/>
      <c r="I19" s="12"/>
      <c r="J19" s="12"/>
      <c r="K19" s="12"/>
      <c r="L19" s="25">
        <f t="shared" si="1"/>
        <v>0</v>
      </c>
      <c r="M19" s="25">
        <f t="shared" si="0"/>
        <v>0</v>
      </c>
      <c r="N19" s="99">
        <f>(((J19+K19)/1000*1.1*30*Таблица2[[#This Row],[Кол.проходов]])/1.2)*D19</f>
        <v>0</v>
      </c>
    </row>
    <row r="20" spans="1:14" ht="16">
      <c r="A20" s="98">
        <v>21</v>
      </c>
      <c r="B20" s="12"/>
      <c r="C20" s="12"/>
      <c r="D20" s="12"/>
      <c r="E20" s="12"/>
      <c r="F20" s="25">
        <f>CEILING(Таблица2[[#This Row],[Толщина, мм]]/5,1)</f>
        <v>0</v>
      </c>
      <c r="G20" s="12"/>
      <c r="H20" s="12"/>
      <c r="I20" s="12"/>
      <c r="J20" s="12"/>
      <c r="K20" s="12"/>
      <c r="L20" s="25">
        <f t="shared" si="1"/>
        <v>0</v>
      </c>
      <c r="M20" s="25">
        <f t="shared" si="0"/>
        <v>0</v>
      </c>
      <c r="N20" s="99">
        <f>(((J20+K20)/1000*1.1*30*Таблица2[[#This Row],[Кол.проходов]])/1.2)*D20</f>
        <v>0</v>
      </c>
    </row>
    <row r="21" spans="1:14" ht="16">
      <c r="A21" s="98">
        <v>22</v>
      </c>
      <c r="B21" s="12"/>
      <c r="C21" s="12"/>
      <c r="D21" s="12"/>
      <c r="E21" s="12"/>
      <c r="F21" s="25">
        <f>CEILING(Таблица2[[#This Row],[Толщина, мм]]/5,1)</f>
        <v>0</v>
      </c>
      <c r="G21" s="12"/>
      <c r="H21" s="12"/>
      <c r="I21" s="12"/>
      <c r="J21" s="12"/>
      <c r="K21" s="12"/>
      <c r="L21" s="25">
        <f t="shared" si="1"/>
        <v>0</v>
      </c>
      <c r="M21" s="25">
        <f t="shared" si="0"/>
        <v>0</v>
      </c>
      <c r="N21" s="99">
        <f>(((J21+K21)/1000*1.1*30*Таблица2[[#This Row],[Кол.проходов]])/1.2)*D21</f>
        <v>0</v>
      </c>
    </row>
    <row r="22" spans="1:14" ht="16">
      <c r="A22" s="98">
        <v>23</v>
      </c>
      <c r="B22" s="12"/>
      <c r="C22" s="12"/>
      <c r="D22" s="12"/>
      <c r="E22" s="12"/>
      <c r="F22" s="25">
        <f>CEILING(Таблица2[[#This Row],[Толщина, мм]]/5,1)</f>
        <v>0</v>
      </c>
      <c r="G22" s="12"/>
      <c r="H22" s="12"/>
      <c r="I22" s="12"/>
      <c r="J22" s="12"/>
      <c r="K22" s="12"/>
      <c r="L22" s="25">
        <f t="shared" si="1"/>
        <v>0</v>
      </c>
      <c r="M22" s="25">
        <f t="shared" si="0"/>
        <v>0</v>
      </c>
      <c r="N22" s="99">
        <f>(((J22+K22)/1000*1.1*30*Таблица2[[#This Row],[Кол.проходов]])/1.2)*D22</f>
        <v>0</v>
      </c>
    </row>
    <row r="23" spans="1:14" ht="16">
      <c r="A23" s="98">
        <v>24</v>
      </c>
      <c r="B23" s="12"/>
      <c r="C23" s="12"/>
      <c r="D23" s="12"/>
      <c r="E23" s="12"/>
      <c r="F23" s="25">
        <f>CEILING(Таблица2[[#This Row],[Толщина, мм]]/5,1)</f>
        <v>0</v>
      </c>
      <c r="G23" s="12"/>
      <c r="H23" s="12"/>
      <c r="I23" s="12"/>
      <c r="J23" s="12"/>
      <c r="K23" s="12"/>
      <c r="L23" s="25">
        <f t="shared" si="1"/>
        <v>0</v>
      </c>
      <c r="M23" s="25">
        <f t="shared" si="0"/>
        <v>0</v>
      </c>
      <c r="N23" s="99">
        <f>(((J23+K23)/1000*1.1*30*Таблица2[[#This Row],[Кол.проходов]])/1.2)*D23</f>
        <v>0</v>
      </c>
    </row>
    <row r="24" spans="1:14" ht="16">
      <c r="A24" s="98">
        <v>25</v>
      </c>
      <c r="B24" s="12"/>
      <c r="C24" s="12"/>
      <c r="D24" s="12"/>
      <c r="E24" s="12"/>
      <c r="F24" s="25">
        <f>CEILING(Таблица2[[#This Row],[Толщина, мм]]/5,1)</f>
        <v>0</v>
      </c>
      <c r="G24" s="12"/>
      <c r="H24" s="12"/>
      <c r="I24" s="12"/>
      <c r="J24" s="12"/>
      <c r="K24" s="12"/>
      <c r="L24" s="25">
        <f t="shared" si="1"/>
        <v>0</v>
      </c>
      <c r="M24" s="25">
        <f t="shared" si="0"/>
        <v>0</v>
      </c>
      <c r="N24" s="99">
        <f>(((J24+K24)/1000*1.1*30*Таблица2[[#This Row],[Кол.проходов]])/1.2)*D24</f>
        <v>0</v>
      </c>
    </row>
    <row r="25" spans="1:14" ht="16">
      <c r="A25" s="98">
        <v>26</v>
      </c>
      <c r="B25" s="12"/>
      <c r="C25" s="12"/>
      <c r="D25" s="12"/>
      <c r="E25" s="12"/>
      <c r="F25" s="25">
        <f>CEILING(Таблица2[[#This Row],[Толщина, мм]]/5,1)</f>
        <v>0</v>
      </c>
      <c r="G25" s="12"/>
      <c r="H25" s="12"/>
      <c r="I25" s="12"/>
      <c r="J25" s="12"/>
      <c r="K25" s="12"/>
      <c r="L25" s="25">
        <f t="shared" si="1"/>
        <v>0</v>
      </c>
      <c r="M25" s="25">
        <f t="shared" si="0"/>
        <v>0</v>
      </c>
      <c r="N25" s="99">
        <f>(((J25+K25)/1000*1.1*30*Таблица2[[#This Row],[Кол.проходов]])/1.2)*D25</f>
        <v>0</v>
      </c>
    </row>
    <row r="26" spans="1:14" ht="16">
      <c r="A26" s="98">
        <v>27</v>
      </c>
      <c r="B26" s="12"/>
      <c r="C26" s="12"/>
      <c r="D26" s="12"/>
      <c r="E26" s="12"/>
      <c r="F26" s="25">
        <f>CEILING(Таблица2[[#This Row],[Толщина, мм]]/5,1)</f>
        <v>0</v>
      </c>
      <c r="G26" s="12"/>
      <c r="H26" s="12"/>
      <c r="I26" s="12"/>
      <c r="J26" s="12"/>
      <c r="K26" s="12"/>
      <c r="L26" s="25">
        <f t="shared" si="1"/>
        <v>0</v>
      </c>
      <c r="M26" s="25">
        <f t="shared" si="0"/>
        <v>0</v>
      </c>
      <c r="N26" s="99">
        <f>(((J26+K26)/1000*1.1*30*Таблица2[[#This Row],[Кол.проходов]])/1.2)*D26</f>
        <v>0</v>
      </c>
    </row>
    <row r="27" spans="1:14" ht="16">
      <c r="A27" s="98">
        <v>28</v>
      </c>
      <c r="B27" s="12"/>
      <c r="C27" s="12"/>
      <c r="D27" s="12"/>
      <c r="E27" s="12"/>
      <c r="F27" s="25">
        <f>CEILING(Таблица2[[#This Row],[Толщина, мм]]/5,1)</f>
        <v>0</v>
      </c>
      <c r="G27" s="12"/>
      <c r="H27" s="12"/>
      <c r="I27" s="12"/>
      <c r="J27" s="12"/>
      <c r="K27" s="12"/>
      <c r="L27" s="25">
        <f t="shared" si="1"/>
        <v>0</v>
      </c>
      <c r="M27" s="25">
        <f t="shared" si="0"/>
        <v>0</v>
      </c>
      <c r="N27" s="99">
        <f>(((J27+K27)/1000*1.1*30*Таблица2[[#This Row],[Кол.проходов]])/1.2)*D27</f>
        <v>0</v>
      </c>
    </row>
    <row r="28" spans="1:14" ht="16">
      <c r="A28" s="98">
        <v>29</v>
      </c>
      <c r="B28" s="12"/>
      <c r="C28" s="12"/>
      <c r="D28" s="12"/>
      <c r="E28" s="12"/>
      <c r="F28" s="25">
        <f>CEILING(Таблица2[[#This Row],[Толщина, мм]]/5,1)</f>
        <v>0</v>
      </c>
      <c r="G28" s="12"/>
      <c r="H28" s="12"/>
      <c r="I28" s="12"/>
      <c r="J28" s="12"/>
      <c r="K28" s="12"/>
      <c r="L28" s="25">
        <f t="shared" si="1"/>
        <v>0</v>
      </c>
      <c r="M28" s="25">
        <f t="shared" si="0"/>
        <v>0</v>
      </c>
      <c r="N28" s="99">
        <f>(((J28+K28)/1000*1.1*30*Таблица2[[#This Row],[Кол.проходов]])/1.2)*D28</f>
        <v>0</v>
      </c>
    </row>
    <row r="29" spans="1:14" ht="16">
      <c r="A29" s="98">
        <v>30</v>
      </c>
      <c r="B29" s="12"/>
      <c r="C29" s="12"/>
      <c r="D29" s="12"/>
      <c r="E29" s="12"/>
      <c r="F29" s="25">
        <f>CEILING(Таблица2[[#This Row],[Толщина, мм]]/5,1)</f>
        <v>0</v>
      </c>
      <c r="G29" s="12"/>
      <c r="H29" s="12"/>
      <c r="I29" s="12"/>
      <c r="J29" s="12"/>
      <c r="K29" s="12"/>
      <c r="L29" s="25">
        <f t="shared" si="1"/>
        <v>0</v>
      </c>
      <c r="M29" s="25">
        <f t="shared" si="0"/>
        <v>0</v>
      </c>
      <c r="N29" s="99">
        <f>(((J29+K29)/1000*1.1*30*Таблица2[[#This Row],[Кол.проходов]])/1.2)*D29</f>
        <v>0</v>
      </c>
    </row>
    <row r="30" spans="1:14" ht="16">
      <c r="A30" s="98">
        <v>31</v>
      </c>
      <c r="B30" s="12"/>
      <c r="C30" s="12"/>
      <c r="D30" s="12"/>
      <c r="E30" s="12"/>
      <c r="F30" s="25">
        <f>CEILING(Таблица2[[#This Row],[Толщина, мм]]/5,1)</f>
        <v>0</v>
      </c>
      <c r="G30" s="12"/>
      <c r="H30" s="12"/>
      <c r="I30" s="12"/>
      <c r="J30" s="12"/>
      <c r="K30" s="12"/>
      <c r="L30" s="25">
        <f t="shared" si="1"/>
        <v>0</v>
      </c>
      <c r="M30" s="25">
        <f t="shared" si="0"/>
        <v>0</v>
      </c>
      <c r="N30" s="99">
        <f>(((J30+K30)/1000*1.1*30*Таблица2[[#This Row],[Кол.проходов]])/1.2)*D30</f>
        <v>0</v>
      </c>
    </row>
    <row r="31" spans="1:14" ht="16">
      <c r="A31" s="98">
        <v>32</v>
      </c>
      <c r="B31" s="12"/>
      <c r="C31" s="12"/>
      <c r="D31" s="12"/>
      <c r="E31" s="12"/>
      <c r="F31" s="25">
        <f>CEILING(Таблица2[[#This Row],[Толщина, мм]]/5,1)</f>
        <v>0</v>
      </c>
      <c r="G31" s="12"/>
      <c r="H31" s="12"/>
      <c r="I31" s="12"/>
      <c r="J31" s="12"/>
      <c r="K31" s="12"/>
      <c r="L31" s="25">
        <f t="shared" si="1"/>
        <v>0</v>
      </c>
      <c r="M31" s="25">
        <f t="shared" si="0"/>
        <v>0</v>
      </c>
      <c r="N31" s="99">
        <f>(((J31+K31)/1000*1.1*30*Таблица2[[#This Row],[Кол.проходов]])/1.2)*D31</f>
        <v>0</v>
      </c>
    </row>
    <row r="32" spans="1:14" ht="16">
      <c r="A32" s="98">
        <v>33</v>
      </c>
      <c r="B32" s="12"/>
      <c r="C32" s="12"/>
      <c r="D32" s="12"/>
      <c r="E32" s="12"/>
      <c r="F32" s="25">
        <f>CEILING(Таблица2[[#This Row],[Толщина, мм]]/5,1)</f>
        <v>0</v>
      </c>
      <c r="G32" s="12"/>
      <c r="H32" s="12"/>
      <c r="I32" s="12"/>
      <c r="J32" s="12"/>
      <c r="K32" s="12"/>
      <c r="L32" s="25">
        <f t="shared" si="1"/>
        <v>0</v>
      </c>
      <c r="M32" s="25">
        <f t="shared" si="0"/>
        <v>0</v>
      </c>
      <c r="N32" s="99">
        <f>(((J32+K32)/1000*1.1*30*Таблица2[[#This Row],[Кол.проходов]])/1.2)*D32</f>
        <v>0</v>
      </c>
    </row>
    <row r="33" spans="1:14" ht="16">
      <c r="A33" s="98">
        <v>34</v>
      </c>
      <c r="B33" s="12"/>
      <c r="C33" s="12"/>
      <c r="D33" s="12"/>
      <c r="E33" s="12"/>
      <c r="F33" s="25">
        <f>CEILING(Таблица2[[#This Row],[Толщина, мм]]/5,1)</f>
        <v>0</v>
      </c>
      <c r="G33" s="12"/>
      <c r="H33" s="12"/>
      <c r="I33" s="12"/>
      <c r="J33" s="12"/>
      <c r="K33" s="12"/>
      <c r="L33" s="25">
        <f t="shared" si="1"/>
        <v>0</v>
      </c>
      <c r="M33" s="25">
        <f t="shared" si="0"/>
        <v>0</v>
      </c>
      <c r="N33" s="99">
        <f>(((J33+K33)/1000*1.1*30*Таблица2[[#This Row],[Кол.проходов]])/1.2)*D33</f>
        <v>0</v>
      </c>
    </row>
    <row r="34" spans="1:14" ht="16">
      <c r="A34" s="98">
        <v>35</v>
      </c>
      <c r="B34" s="12"/>
      <c r="C34" s="12"/>
      <c r="D34" s="12"/>
      <c r="E34" s="12"/>
      <c r="F34" s="25">
        <f>CEILING(Таблица2[[#This Row],[Толщина, мм]]/5,1)</f>
        <v>0</v>
      </c>
      <c r="G34" s="12"/>
      <c r="H34" s="12"/>
      <c r="I34" s="12"/>
      <c r="J34" s="12"/>
      <c r="K34" s="12"/>
      <c r="L34" s="25">
        <f t="shared" ref="L34:L51" si="2">D34*H34</f>
        <v>0</v>
      </c>
      <c r="M34" s="25">
        <f t="shared" si="0"/>
        <v>0</v>
      </c>
      <c r="N34" s="99">
        <f>(((J34+K34)/1000*1.1*30*Таблица2[[#This Row],[Кол.проходов]])/1.2)*D34</f>
        <v>0</v>
      </c>
    </row>
    <row r="35" spans="1:14" ht="16">
      <c r="A35" s="98">
        <v>36</v>
      </c>
      <c r="B35" s="12"/>
      <c r="C35" s="12"/>
      <c r="D35" s="12"/>
      <c r="E35" s="12"/>
      <c r="F35" s="25">
        <f>CEILING(Таблица2[[#This Row],[Толщина, мм]]/5,1)</f>
        <v>0</v>
      </c>
      <c r="G35" s="12"/>
      <c r="H35" s="12"/>
      <c r="I35" s="12"/>
      <c r="J35" s="12"/>
      <c r="K35" s="12"/>
      <c r="L35" s="25">
        <f t="shared" si="2"/>
        <v>0</v>
      </c>
      <c r="M35" s="25">
        <f t="shared" si="0"/>
        <v>0</v>
      </c>
      <c r="N35" s="99">
        <f>(((J35+K35)/1000*1.1*30*Таблица2[[#This Row],[Кол.проходов]])/1.2)*D35</f>
        <v>0</v>
      </c>
    </row>
    <row r="36" spans="1:14" ht="16">
      <c r="A36" s="98">
        <v>37</v>
      </c>
      <c r="B36" s="12"/>
      <c r="C36" s="12"/>
      <c r="D36" s="12"/>
      <c r="E36" s="12"/>
      <c r="F36" s="25">
        <f>CEILING(Таблица2[[#This Row],[Толщина, мм]]/5,1)</f>
        <v>0</v>
      </c>
      <c r="G36" s="12"/>
      <c r="H36" s="12"/>
      <c r="I36" s="12"/>
      <c r="J36" s="12"/>
      <c r="K36" s="12"/>
      <c r="L36" s="25">
        <f t="shared" si="2"/>
        <v>0</v>
      </c>
      <c r="M36" s="25">
        <f t="shared" si="0"/>
        <v>0</v>
      </c>
      <c r="N36" s="99">
        <f>(((J36+K36)/1000*1.1*30*Таблица2[[#This Row],[Кол.проходов]])/1.2)*D36</f>
        <v>0</v>
      </c>
    </row>
    <row r="37" spans="1:14" ht="16">
      <c r="A37" s="98">
        <v>38</v>
      </c>
      <c r="B37" s="12"/>
      <c r="C37" s="12"/>
      <c r="D37" s="12"/>
      <c r="E37" s="12"/>
      <c r="F37" s="25">
        <f>CEILING(Таблица2[[#This Row],[Толщина, мм]]/5,1)</f>
        <v>0</v>
      </c>
      <c r="G37" s="12"/>
      <c r="H37" s="12"/>
      <c r="I37" s="12"/>
      <c r="J37" s="12"/>
      <c r="K37" s="12"/>
      <c r="L37" s="25">
        <f t="shared" si="2"/>
        <v>0</v>
      </c>
      <c r="M37" s="25">
        <f t="shared" si="0"/>
        <v>0</v>
      </c>
      <c r="N37" s="99">
        <f>(((J37+K37)/1000*1.1*30*Таблица2[[#This Row],[Кол.проходов]])/1.2)*D37</f>
        <v>0</v>
      </c>
    </row>
    <row r="38" spans="1:14" ht="16">
      <c r="A38" s="98">
        <v>39</v>
      </c>
      <c r="B38" s="12"/>
      <c r="C38" s="12"/>
      <c r="D38" s="12"/>
      <c r="E38" s="12"/>
      <c r="F38" s="25">
        <f>CEILING(Таблица2[[#This Row],[Толщина, мм]]/5,1)</f>
        <v>0</v>
      </c>
      <c r="G38" s="12"/>
      <c r="H38" s="12"/>
      <c r="I38" s="12"/>
      <c r="J38" s="12"/>
      <c r="K38" s="12"/>
      <c r="L38" s="25">
        <f>D38*H38</f>
        <v>0</v>
      </c>
      <c r="M38" s="25">
        <f t="shared" si="0"/>
        <v>0</v>
      </c>
      <c r="N38" s="99">
        <f>(((J38+K38)/1000*1.1*30*Таблица2[[#This Row],[Кол.проходов]])/1.2)*D38</f>
        <v>0</v>
      </c>
    </row>
    <row r="39" spans="1:14" ht="16">
      <c r="A39" s="98">
        <v>40</v>
      </c>
      <c r="B39" s="12"/>
      <c r="C39" s="12"/>
      <c r="D39" s="12"/>
      <c r="E39" s="12"/>
      <c r="F39" s="25">
        <f>CEILING(Таблица2[[#This Row],[Толщина, мм]]/5,1)</f>
        <v>0</v>
      </c>
      <c r="G39" s="12"/>
      <c r="H39" s="12"/>
      <c r="I39" s="12"/>
      <c r="J39" s="12"/>
      <c r="K39" s="12"/>
      <c r="L39" s="25">
        <f t="shared" si="2"/>
        <v>0</v>
      </c>
      <c r="M39" s="25">
        <f t="shared" si="0"/>
        <v>0</v>
      </c>
      <c r="N39" s="99">
        <f>(((J39+K39)/1000*1.1*30*Таблица2[[#This Row],[Кол.проходов]])/1.2)*D39</f>
        <v>0</v>
      </c>
    </row>
    <row r="40" spans="1:14" ht="16">
      <c r="A40" s="98">
        <v>41</v>
      </c>
      <c r="B40" s="12"/>
      <c r="C40" s="12"/>
      <c r="D40" s="12"/>
      <c r="E40" s="12"/>
      <c r="F40" s="25">
        <f>CEILING(Таблица2[[#This Row],[Толщина, мм]]/5,1)</f>
        <v>0</v>
      </c>
      <c r="G40" s="12"/>
      <c r="H40" s="12"/>
      <c r="I40" s="12"/>
      <c r="J40" s="12"/>
      <c r="K40" s="12"/>
      <c r="L40" s="25">
        <f t="shared" si="2"/>
        <v>0</v>
      </c>
      <c r="M40" s="25">
        <f t="shared" si="0"/>
        <v>0</v>
      </c>
      <c r="N40" s="99">
        <f>(((J40+K40)/1000*1.1*30*Таблица2[[#This Row],[Кол.проходов]])/1.2)*D40</f>
        <v>0</v>
      </c>
    </row>
    <row r="41" spans="1:14" ht="16">
      <c r="A41" s="98">
        <v>42</v>
      </c>
      <c r="B41" s="12"/>
      <c r="C41" s="12"/>
      <c r="D41" s="12"/>
      <c r="E41" s="12"/>
      <c r="F41" s="25">
        <f>CEILING(Таблица2[[#This Row],[Толщина, мм]]/5,1)</f>
        <v>0</v>
      </c>
      <c r="G41" s="12"/>
      <c r="H41" s="12"/>
      <c r="I41" s="12"/>
      <c r="J41" s="12"/>
      <c r="K41" s="12"/>
      <c r="L41" s="25">
        <f t="shared" si="2"/>
        <v>0</v>
      </c>
      <c r="M41" s="25">
        <f t="shared" si="0"/>
        <v>0</v>
      </c>
      <c r="N41" s="99">
        <f>(((J41+K41)/1000*1.1*30*Таблица2[[#This Row],[Кол.проходов]])/1.2)*D41</f>
        <v>0</v>
      </c>
    </row>
    <row r="42" spans="1:14" ht="16">
      <c r="A42" s="98">
        <v>43</v>
      </c>
      <c r="B42" s="12"/>
      <c r="C42" s="12"/>
      <c r="D42" s="12"/>
      <c r="E42" s="12"/>
      <c r="F42" s="25">
        <f>CEILING(Таблица2[[#This Row],[Толщина, мм]]/5,1)</f>
        <v>0</v>
      </c>
      <c r="G42" s="12"/>
      <c r="H42" s="12"/>
      <c r="I42" s="12"/>
      <c r="J42" s="12"/>
      <c r="K42" s="12"/>
      <c r="L42" s="25">
        <f t="shared" si="2"/>
        <v>0</v>
      </c>
      <c r="M42" s="25">
        <f t="shared" si="0"/>
        <v>0</v>
      </c>
      <c r="N42" s="99">
        <f>(((J42+K42)/1000*1.1*30*Таблица2[[#This Row],[Кол.проходов]])/1.2)*D42</f>
        <v>0</v>
      </c>
    </row>
    <row r="43" spans="1:14" ht="16">
      <c r="A43" s="98">
        <v>44</v>
      </c>
      <c r="B43" s="12"/>
      <c r="C43" s="12"/>
      <c r="D43" s="12"/>
      <c r="E43" s="12"/>
      <c r="F43" s="25">
        <f>CEILING(Таблица2[[#This Row],[Толщина, мм]]/5,1)</f>
        <v>0</v>
      </c>
      <c r="G43" s="12"/>
      <c r="H43" s="12"/>
      <c r="I43" s="12"/>
      <c r="J43" s="12"/>
      <c r="K43" s="12"/>
      <c r="L43" s="25">
        <f t="shared" si="2"/>
        <v>0</v>
      </c>
      <c r="M43" s="25">
        <f t="shared" si="0"/>
        <v>0</v>
      </c>
      <c r="N43" s="99">
        <f>(((J43+K43)/1000*1.1*30*Таблица2[[#This Row],[Кол.проходов]])/1.2)*D43</f>
        <v>0</v>
      </c>
    </row>
    <row r="44" spans="1:14" ht="16">
      <c r="A44" s="98">
        <v>45</v>
      </c>
      <c r="B44" s="12"/>
      <c r="C44" s="12"/>
      <c r="D44" s="12"/>
      <c r="E44" s="12"/>
      <c r="F44" s="25">
        <f>CEILING(Таблица2[[#This Row],[Толщина, мм]]/5,1)</f>
        <v>0</v>
      </c>
      <c r="G44" s="12"/>
      <c r="H44" s="12"/>
      <c r="I44" s="12"/>
      <c r="J44" s="12"/>
      <c r="K44" s="12"/>
      <c r="L44" s="25">
        <f t="shared" si="2"/>
        <v>0</v>
      </c>
      <c r="M44" s="25">
        <f t="shared" si="0"/>
        <v>0</v>
      </c>
      <c r="N44" s="99">
        <f>(((J44+K44)/1000*1.1*30*Таблица2[[#This Row],[Кол.проходов]])/1.2)*D44</f>
        <v>0</v>
      </c>
    </row>
    <row r="45" spans="1:14" ht="16">
      <c r="A45" s="98">
        <v>46</v>
      </c>
      <c r="B45" s="12"/>
      <c r="C45" s="12"/>
      <c r="D45" s="12"/>
      <c r="E45" s="12"/>
      <c r="F45" s="25">
        <f>CEILING(Таблица2[[#This Row],[Толщина, мм]]/5,1)</f>
        <v>0</v>
      </c>
      <c r="G45" s="12"/>
      <c r="H45" s="12"/>
      <c r="I45" s="12"/>
      <c r="J45" s="12"/>
      <c r="K45" s="12"/>
      <c r="L45" s="25">
        <f t="shared" si="2"/>
        <v>0</v>
      </c>
      <c r="M45" s="25">
        <f t="shared" si="0"/>
        <v>0</v>
      </c>
      <c r="N45" s="99">
        <f>(((J45+K45)/1000*1.1*30*Таблица2[[#This Row],[Кол.проходов]])/1.2)*D45</f>
        <v>0</v>
      </c>
    </row>
    <row r="46" spans="1:14" ht="16">
      <c r="A46" s="98">
        <v>47</v>
      </c>
      <c r="B46" s="12"/>
      <c r="C46" s="12"/>
      <c r="D46" s="12"/>
      <c r="E46" s="12"/>
      <c r="F46" s="25">
        <f>CEILING(Таблица2[[#This Row],[Толщина, мм]]/5,1)</f>
        <v>0</v>
      </c>
      <c r="G46" s="12"/>
      <c r="H46" s="12"/>
      <c r="I46" s="12"/>
      <c r="J46" s="12"/>
      <c r="K46" s="12"/>
      <c r="L46" s="25">
        <f t="shared" si="2"/>
        <v>0</v>
      </c>
      <c r="M46" s="25">
        <f t="shared" si="0"/>
        <v>0</v>
      </c>
      <c r="N46" s="99">
        <f>(((J46+K46)/1000*1.1*30*Таблица2[[#This Row],[Кол.проходов]])/1.2)*D46</f>
        <v>0</v>
      </c>
    </row>
    <row r="47" spans="1:14" ht="16">
      <c r="A47" s="98">
        <v>48</v>
      </c>
      <c r="B47" s="12"/>
      <c r="C47" s="12"/>
      <c r="D47" s="12"/>
      <c r="E47" s="12"/>
      <c r="F47" s="25">
        <f>CEILING(Таблица2[[#This Row],[Толщина, мм]]/5,1)</f>
        <v>0</v>
      </c>
      <c r="G47" s="12"/>
      <c r="H47" s="12"/>
      <c r="I47" s="12"/>
      <c r="J47" s="12"/>
      <c r="K47" s="12"/>
      <c r="L47" s="25">
        <f t="shared" si="2"/>
        <v>0</v>
      </c>
      <c r="M47" s="25">
        <f t="shared" si="0"/>
        <v>0</v>
      </c>
      <c r="N47" s="99">
        <f>(((J47+K47)/1000*1.1*30*Таблица2[[#This Row],[Кол.проходов]])/1.2)*D47</f>
        <v>0</v>
      </c>
    </row>
    <row r="48" spans="1:14" ht="16">
      <c r="A48" s="98">
        <v>49</v>
      </c>
      <c r="B48" s="12"/>
      <c r="C48" s="12"/>
      <c r="D48" s="12"/>
      <c r="E48" s="12"/>
      <c r="F48" s="25">
        <f>CEILING(Таблица2[[#This Row],[Толщина, мм]]/5,1)</f>
        <v>0</v>
      </c>
      <c r="G48" s="12"/>
      <c r="H48" s="12"/>
      <c r="I48" s="12"/>
      <c r="J48" s="12"/>
      <c r="K48" s="12"/>
      <c r="L48" s="25">
        <f t="shared" si="2"/>
        <v>0</v>
      </c>
      <c r="M48" s="25">
        <f t="shared" si="0"/>
        <v>0</v>
      </c>
      <c r="N48" s="99">
        <f>(((J48+K48)/1000*1.1*30*Таблица2[[#This Row],[Кол.проходов]])/1.2)*D48</f>
        <v>0</v>
      </c>
    </row>
    <row r="49" spans="1:14" ht="16">
      <c r="A49" s="98">
        <v>50</v>
      </c>
      <c r="B49" s="12"/>
      <c r="C49" s="12"/>
      <c r="D49" s="12"/>
      <c r="E49" s="12"/>
      <c r="F49" s="25">
        <f>CEILING(Таблица2[[#This Row],[Толщина, мм]]/5,1)</f>
        <v>0</v>
      </c>
      <c r="G49" s="12"/>
      <c r="H49" s="12"/>
      <c r="I49" s="12"/>
      <c r="J49" s="12"/>
      <c r="K49" s="12"/>
      <c r="L49" s="25">
        <f t="shared" si="2"/>
        <v>0</v>
      </c>
      <c r="M49" s="25">
        <f t="shared" si="0"/>
        <v>0</v>
      </c>
      <c r="N49" s="99">
        <f>(((J49+K49)/1000*1.1*30*Таблица2[[#This Row],[Кол.проходов]])/1.2)*D49</f>
        <v>0</v>
      </c>
    </row>
    <row r="50" spans="1:14" ht="16">
      <c r="A50" s="98">
        <v>51</v>
      </c>
      <c r="B50" s="12"/>
      <c r="C50" s="12"/>
      <c r="D50" s="12"/>
      <c r="E50" s="12"/>
      <c r="F50" s="25">
        <f>CEILING(Таблица2[[#This Row],[Толщина, мм]]/5,1)</f>
        <v>0</v>
      </c>
      <c r="G50" s="12"/>
      <c r="H50" s="12"/>
      <c r="I50" s="12"/>
      <c r="J50" s="12"/>
      <c r="K50" s="12"/>
      <c r="L50" s="25">
        <f t="shared" si="2"/>
        <v>0</v>
      </c>
      <c r="M50" s="25">
        <f t="shared" si="0"/>
        <v>0</v>
      </c>
      <c r="N50" s="99">
        <f>(((J50+K50)/1000*1.1*30*Таблица2[[#This Row],[Кол.проходов]])/1.2)*D50</f>
        <v>0</v>
      </c>
    </row>
    <row r="51" spans="1:14" ht="16">
      <c r="A51" s="103">
        <v>52</v>
      </c>
      <c r="B51" s="30"/>
      <c r="C51" s="30"/>
      <c r="D51" s="30"/>
      <c r="E51" s="30"/>
      <c r="F51" s="25">
        <f>CEILING(Таблица2[[#This Row],[Толщина, мм]]/5,1)</f>
        <v>0</v>
      </c>
      <c r="G51" s="30"/>
      <c r="H51" s="30"/>
      <c r="I51" s="30"/>
      <c r="J51" s="30"/>
      <c r="K51" s="30"/>
      <c r="L51" s="28">
        <f t="shared" si="2"/>
        <v>0</v>
      </c>
      <c r="M51" s="25">
        <f t="shared" si="0"/>
        <v>0</v>
      </c>
      <c r="N51" s="99">
        <f>(((J51+K51)/1000*1.1*30*Таблица2[[#This Row],[Кол.проходов]])/1.2)*D51</f>
        <v>0</v>
      </c>
    </row>
    <row r="52" spans="1:14" ht="16">
      <c r="L52" s="92">
        <f>SUM(L2:L51)</f>
        <v>0</v>
      </c>
      <c r="M52" s="92">
        <f>SUM(M2:M51)</f>
        <v>0</v>
      </c>
      <c r="N52" s="92">
        <f>SUM(N2:N51)</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43"/>
  <sheetViews>
    <sheetView topLeftCell="A13" workbookViewId="0">
      <selection activeCell="A39" sqref="A39"/>
    </sheetView>
  </sheetViews>
  <sheetFormatPr baseColWidth="10" defaultColWidth="9.25" defaultRowHeight="11"/>
  <cols>
    <col min="1" max="1" width="35.5" style="36" customWidth="1"/>
    <col min="2" max="2" width="4.5" style="36" customWidth="1"/>
    <col min="3" max="4" width="9.25" style="36"/>
    <col min="5" max="5" width="20.75" style="36" customWidth="1"/>
    <col min="6" max="6" width="21.75" style="36" customWidth="1"/>
    <col min="7" max="7" width="16.25" style="36" customWidth="1"/>
    <col min="8" max="8" width="9.25" style="36"/>
    <col min="9" max="9" width="25.75" style="36" customWidth="1"/>
    <col min="10" max="10" width="19.75" style="36" customWidth="1"/>
    <col min="11" max="11" width="9.25" style="36"/>
    <col min="12" max="12" width="23.75" style="36" customWidth="1"/>
    <col min="13" max="13" width="9.25" style="36" customWidth="1"/>
    <col min="14" max="16384" width="9.25" style="36"/>
  </cols>
  <sheetData>
    <row r="1" spans="1:32" ht="20" thickBot="1">
      <c r="I1" s="273" t="s">
        <v>34</v>
      </c>
      <c r="J1" s="274"/>
      <c r="L1" s="273" t="s">
        <v>107</v>
      </c>
      <c r="M1" s="274"/>
      <c r="X1" s="277" t="s">
        <v>35</v>
      </c>
      <c r="Y1" s="278"/>
      <c r="Z1" s="278"/>
      <c r="AA1" s="279"/>
      <c r="AC1" s="37">
        <v>0.5</v>
      </c>
      <c r="AD1" s="37">
        <v>1</v>
      </c>
      <c r="AE1" s="37">
        <v>2</v>
      </c>
      <c r="AF1" s="38">
        <v>3</v>
      </c>
    </row>
    <row r="2" spans="1:32" ht="20" thickBot="1">
      <c r="A2" s="45" t="s">
        <v>36</v>
      </c>
      <c r="B2" s="89"/>
      <c r="E2" s="286" t="s">
        <v>37</v>
      </c>
      <c r="F2" s="287"/>
      <c r="G2" s="288"/>
      <c r="I2" s="275"/>
      <c r="J2" s="276"/>
      <c r="L2" s="292"/>
      <c r="M2" s="293"/>
      <c r="X2" s="280"/>
      <c r="Y2" s="281"/>
      <c r="Z2" s="281"/>
      <c r="AA2" s="282"/>
      <c r="AB2" s="39">
        <v>0.5</v>
      </c>
      <c r="AC2" s="37">
        <v>1</v>
      </c>
      <c r="AD2" s="37">
        <v>1.5</v>
      </c>
      <c r="AE2" s="37">
        <v>2</v>
      </c>
      <c r="AF2" s="38">
        <v>3</v>
      </c>
    </row>
    <row r="3" spans="1:32" ht="40">
      <c r="A3" s="45" t="s">
        <v>38</v>
      </c>
      <c r="B3" s="89"/>
      <c r="E3" s="46" t="s">
        <v>37</v>
      </c>
      <c r="F3" s="46" t="s">
        <v>39</v>
      </c>
      <c r="G3" s="46" t="s">
        <v>40</v>
      </c>
      <c r="I3" s="47" t="s">
        <v>41</v>
      </c>
      <c r="J3" s="48" t="s">
        <v>42</v>
      </c>
      <c r="L3" s="83" t="s">
        <v>85</v>
      </c>
      <c r="M3" s="41">
        <v>94</v>
      </c>
      <c r="X3" s="280"/>
      <c r="Y3" s="281"/>
      <c r="Z3" s="281"/>
      <c r="AA3" s="282"/>
      <c r="AB3" s="39">
        <v>0.8</v>
      </c>
      <c r="AC3" s="37">
        <v>1</v>
      </c>
      <c r="AD3" s="37">
        <v>1.5</v>
      </c>
      <c r="AE3" s="37">
        <v>2</v>
      </c>
      <c r="AF3" s="38">
        <v>3</v>
      </c>
    </row>
    <row r="4" spans="1:32" ht="20" thickBot="1">
      <c r="E4" s="40" t="s">
        <v>43</v>
      </c>
      <c r="F4" s="49">
        <v>120</v>
      </c>
      <c r="G4" s="41">
        <v>8</v>
      </c>
      <c r="I4" s="50">
        <v>0.5</v>
      </c>
      <c r="J4" s="50">
        <f>0.5*1.15</f>
        <v>0.57499999999999996</v>
      </c>
      <c r="L4" s="83" t="s">
        <v>86</v>
      </c>
      <c r="M4" s="41">
        <v>87</v>
      </c>
      <c r="X4" s="280"/>
      <c r="Y4" s="281"/>
      <c r="Z4" s="281"/>
      <c r="AA4" s="282"/>
      <c r="AB4" s="42">
        <v>1</v>
      </c>
      <c r="AC4" s="43">
        <v>1</v>
      </c>
      <c r="AD4" s="43">
        <v>1.5</v>
      </c>
      <c r="AE4" s="43">
        <v>2</v>
      </c>
      <c r="AF4" s="44">
        <v>3</v>
      </c>
    </row>
    <row r="5" spans="1:32" ht="20" thickBot="1">
      <c r="A5" s="51" t="s">
        <v>44</v>
      </c>
      <c r="B5" s="52"/>
      <c r="E5" s="40" t="s">
        <v>45</v>
      </c>
      <c r="F5" s="49">
        <v>120</v>
      </c>
      <c r="G5" s="41">
        <v>8</v>
      </c>
      <c r="I5" s="50">
        <v>0.8</v>
      </c>
      <c r="J5" s="50">
        <f>0.8*1.15</f>
        <v>0.91999999999999993</v>
      </c>
      <c r="L5" s="83" t="s">
        <v>88</v>
      </c>
      <c r="M5" s="41">
        <v>160</v>
      </c>
      <c r="X5" s="280"/>
      <c r="Y5" s="281"/>
      <c r="Z5" s="281"/>
      <c r="AA5" s="282"/>
      <c r="AB5" s="42">
        <v>1.2</v>
      </c>
      <c r="AC5" s="43">
        <v>1</v>
      </c>
      <c r="AD5" s="43">
        <v>1.5</v>
      </c>
      <c r="AE5" s="43">
        <v>2</v>
      </c>
      <c r="AF5" s="44">
        <v>3</v>
      </c>
    </row>
    <row r="6" spans="1:32" ht="20" thickBot="1">
      <c r="A6" s="51" t="s">
        <v>46</v>
      </c>
      <c r="B6" s="52"/>
      <c r="E6" s="40" t="s">
        <v>47</v>
      </c>
      <c r="F6" s="49">
        <v>110</v>
      </c>
      <c r="G6" s="41">
        <v>8</v>
      </c>
      <c r="I6" s="50">
        <v>1</v>
      </c>
      <c r="J6" s="50">
        <f>1*1.15</f>
        <v>1.1499999999999999</v>
      </c>
      <c r="L6" s="194" t="s">
        <v>87</v>
      </c>
      <c r="M6" s="41">
        <v>120</v>
      </c>
      <c r="X6" s="280"/>
      <c r="Y6" s="281"/>
      <c r="Z6" s="281"/>
      <c r="AA6" s="282"/>
      <c r="AB6" s="42">
        <v>1.5</v>
      </c>
      <c r="AC6" s="43">
        <v>1</v>
      </c>
      <c r="AD6" s="43">
        <v>1.5</v>
      </c>
      <c r="AE6" s="43">
        <v>2</v>
      </c>
      <c r="AF6" s="44">
        <v>3</v>
      </c>
    </row>
    <row r="7" spans="1:32" ht="20" thickBot="1">
      <c r="A7" s="51" t="s">
        <v>48</v>
      </c>
      <c r="B7" s="52"/>
      <c r="E7" s="40" t="s">
        <v>49</v>
      </c>
      <c r="F7" s="49">
        <v>140</v>
      </c>
      <c r="G7" s="41">
        <v>8</v>
      </c>
      <c r="I7" s="50">
        <v>1.2</v>
      </c>
      <c r="J7" s="50">
        <f>1*1.15</f>
        <v>1.1499999999999999</v>
      </c>
      <c r="L7" s="83" t="s">
        <v>89</v>
      </c>
      <c r="M7" s="41">
        <v>600</v>
      </c>
      <c r="X7" s="280"/>
      <c r="Y7" s="281"/>
      <c r="Z7" s="281"/>
      <c r="AA7" s="282"/>
      <c r="AB7" s="42">
        <v>2</v>
      </c>
      <c r="AC7" s="43">
        <v>1</v>
      </c>
      <c r="AD7" s="43">
        <v>1.5</v>
      </c>
      <c r="AE7" s="43">
        <v>2</v>
      </c>
      <c r="AF7" s="44">
        <v>3</v>
      </c>
    </row>
    <row r="8" spans="1:32" ht="20" thickBot="1">
      <c r="A8" s="51" t="s">
        <v>50</v>
      </c>
      <c r="B8" s="52"/>
      <c r="E8" s="40" t="s">
        <v>51</v>
      </c>
      <c r="F8" s="49">
        <v>760</v>
      </c>
      <c r="G8" s="41">
        <v>3</v>
      </c>
      <c r="I8" s="50">
        <v>1.5</v>
      </c>
      <c r="J8" s="50">
        <f>1.5*1.15</f>
        <v>1.7249999999999999</v>
      </c>
      <c r="L8" s="83" t="s">
        <v>90</v>
      </c>
      <c r="M8" s="41">
        <v>1000</v>
      </c>
      <c r="X8" s="280"/>
      <c r="Y8" s="281"/>
      <c r="Z8" s="281"/>
      <c r="AA8" s="282"/>
      <c r="AB8" s="42">
        <v>2.5</v>
      </c>
      <c r="AC8" s="43">
        <v>1.5</v>
      </c>
      <c r="AD8" s="43">
        <v>2</v>
      </c>
      <c r="AE8" s="43">
        <v>3</v>
      </c>
      <c r="AF8" s="44">
        <v>4</v>
      </c>
    </row>
    <row r="9" spans="1:32" ht="20" thickBot="1">
      <c r="E9" s="40" t="s">
        <v>52</v>
      </c>
      <c r="F9" s="49">
        <v>450</v>
      </c>
      <c r="G9" s="41">
        <v>8</v>
      </c>
      <c r="I9" s="50">
        <v>2</v>
      </c>
      <c r="J9" s="50">
        <f>2*1.15</f>
        <v>2.2999999999999998</v>
      </c>
      <c r="L9" s="83" t="s">
        <v>91</v>
      </c>
      <c r="M9" s="41">
        <v>650</v>
      </c>
      <c r="X9" s="280"/>
      <c r="Y9" s="281"/>
      <c r="Z9" s="281"/>
      <c r="AA9" s="282"/>
      <c r="AB9" s="42">
        <v>3</v>
      </c>
      <c r="AC9" s="43">
        <v>1.5</v>
      </c>
      <c r="AD9" s="43">
        <v>2</v>
      </c>
      <c r="AE9" s="43">
        <v>3</v>
      </c>
      <c r="AF9" s="44">
        <v>4</v>
      </c>
    </row>
    <row r="10" spans="1:32" ht="20" thickBot="1">
      <c r="A10" s="52" t="s">
        <v>53</v>
      </c>
      <c r="B10" s="52"/>
      <c r="E10" s="40" t="s">
        <v>54</v>
      </c>
      <c r="F10" s="49"/>
      <c r="G10" s="41"/>
      <c r="I10" s="50">
        <v>2.5</v>
      </c>
      <c r="J10" s="50">
        <f>2*1.15</f>
        <v>2.2999999999999998</v>
      </c>
      <c r="X10" s="280"/>
      <c r="Y10" s="281"/>
      <c r="Z10" s="281"/>
      <c r="AA10" s="282"/>
      <c r="AB10" s="42">
        <v>4</v>
      </c>
      <c r="AC10" s="43">
        <v>1.5</v>
      </c>
      <c r="AD10" s="43">
        <v>2</v>
      </c>
      <c r="AE10" s="43">
        <v>3</v>
      </c>
      <c r="AF10" s="44">
        <v>4</v>
      </c>
    </row>
    <row r="11" spans="1:32" ht="20" thickBot="1">
      <c r="A11" s="52" t="s">
        <v>55</v>
      </c>
      <c r="B11" s="52"/>
      <c r="I11" s="50">
        <v>3</v>
      </c>
      <c r="J11" s="50">
        <f>2*1.15</f>
        <v>2.2999999999999998</v>
      </c>
      <c r="X11" s="280"/>
      <c r="Y11" s="281"/>
      <c r="Z11" s="281"/>
      <c r="AA11" s="282"/>
      <c r="AB11" s="42">
        <v>5</v>
      </c>
      <c r="AC11" s="43">
        <v>2</v>
      </c>
      <c r="AD11" s="43">
        <v>3</v>
      </c>
      <c r="AE11" s="43">
        <v>4</v>
      </c>
      <c r="AF11" s="44">
        <v>5</v>
      </c>
    </row>
    <row r="12" spans="1:32" ht="20" thickBot="1">
      <c r="I12" s="50">
        <v>4</v>
      </c>
      <c r="J12" s="50">
        <f>3*1.15</f>
        <v>3.4499999999999997</v>
      </c>
      <c r="X12" s="280"/>
      <c r="Y12" s="281"/>
      <c r="Z12" s="281"/>
      <c r="AA12" s="282"/>
      <c r="AB12" s="42">
        <v>6</v>
      </c>
      <c r="AC12" s="43">
        <v>2</v>
      </c>
      <c r="AD12" s="43">
        <v>3</v>
      </c>
      <c r="AE12" s="43">
        <v>4</v>
      </c>
      <c r="AF12" s="44">
        <v>5</v>
      </c>
    </row>
    <row r="13" spans="1:32" ht="20" thickBot="1">
      <c r="I13" s="50">
        <v>5</v>
      </c>
      <c r="J13" s="50">
        <f>3*1.15</f>
        <v>3.4499999999999997</v>
      </c>
      <c r="X13" s="280"/>
      <c r="Y13" s="281"/>
      <c r="Z13" s="281"/>
      <c r="AA13" s="282"/>
      <c r="AB13" s="42">
        <v>7</v>
      </c>
      <c r="AC13" s="43">
        <v>2</v>
      </c>
      <c r="AD13" s="43">
        <v>3</v>
      </c>
      <c r="AE13" s="43">
        <v>4</v>
      </c>
      <c r="AF13" s="44">
        <v>5</v>
      </c>
    </row>
    <row r="14" spans="1:32" ht="20" thickBot="1">
      <c r="I14" s="50">
        <v>6</v>
      </c>
      <c r="J14" s="50">
        <f>3*1.15</f>
        <v>3.4499999999999997</v>
      </c>
      <c r="X14" s="280"/>
      <c r="Y14" s="281"/>
      <c r="Z14" s="281"/>
      <c r="AA14" s="282"/>
      <c r="AB14" s="42">
        <v>8</v>
      </c>
      <c r="AC14" s="43">
        <v>2</v>
      </c>
      <c r="AD14" s="43">
        <v>3</v>
      </c>
      <c r="AE14" s="43">
        <v>4</v>
      </c>
      <c r="AF14" s="44">
        <v>5</v>
      </c>
    </row>
    <row r="15" spans="1:32" ht="20" thickBot="1">
      <c r="I15" s="50">
        <v>7</v>
      </c>
      <c r="J15" s="50">
        <f>4*1.15</f>
        <v>4.5999999999999996</v>
      </c>
      <c r="X15" s="280"/>
      <c r="Y15" s="281"/>
      <c r="Z15" s="281"/>
      <c r="AA15" s="282"/>
      <c r="AB15" s="42">
        <v>9</v>
      </c>
      <c r="AC15" s="43">
        <v>2</v>
      </c>
      <c r="AD15" s="43">
        <v>3</v>
      </c>
      <c r="AE15" s="43">
        <v>4</v>
      </c>
      <c r="AF15" s="44">
        <v>5</v>
      </c>
    </row>
    <row r="16" spans="1:32" ht="20" thickBot="1">
      <c r="I16" s="50">
        <v>8</v>
      </c>
      <c r="J16" s="50">
        <f t="shared" ref="J16:J17" si="0">4*1.15</f>
        <v>4.5999999999999996</v>
      </c>
      <c r="X16" s="283"/>
      <c r="Y16" s="284"/>
      <c r="Z16" s="284"/>
      <c r="AA16" s="285"/>
      <c r="AB16" s="42">
        <v>10</v>
      </c>
      <c r="AC16" s="43">
        <v>2</v>
      </c>
      <c r="AD16" s="43">
        <v>3</v>
      </c>
      <c r="AE16" s="43">
        <v>4</v>
      </c>
      <c r="AF16" s="44">
        <v>5</v>
      </c>
    </row>
    <row r="17" spans="1:20" ht="16">
      <c r="I17" s="50">
        <v>9</v>
      </c>
      <c r="J17" s="50">
        <f t="shared" si="0"/>
        <v>4.5999999999999996</v>
      </c>
    </row>
    <row r="18" spans="1:20" ht="16">
      <c r="I18" s="50">
        <v>10</v>
      </c>
      <c r="J18" s="50">
        <f>5*1.15</f>
        <v>5.75</v>
      </c>
    </row>
    <row r="19" spans="1:20" ht="16">
      <c r="I19" s="50">
        <v>12</v>
      </c>
      <c r="J19" s="50">
        <f>6*1.15</f>
        <v>6.8999999999999995</v>
      </c>
    </row>
    <row r="20" spans="1:20" ht="16">
      <c r="I20" s="50">
        <v>16</v>
      </c>
      <c r="J20" s="50">
        <f>10*1.15</f>
        <v>11.5</v>
      </c>
    </row>
    <row r="21" spans="1:20" ht="16">
      <c r="I21" s="50">
        <v>20</v>
      </c>
      <c r="J21" s="50">
        <f>12*1.15</f>
        <v>13.799999999999999</v>
      </c>
    </row>
    <row r="22" spans="1:20" ht="16">
      <c r="I22" s="53"/>
      <c r="J22" s="53"/>
    </row>
    <row r="23" spans="1:20" ht="16">
      <c r="I23" s="53"/>
      <c r="J23" s="53"/>
    </row>
    <row r="24" spans="1:20" ht="12" thickBot="1"/>
    <row r="25" spans="1:20" ht="19">
      <c r="A25" s="289" t="s">
        <v>56</v>
      </c>
      <c r="B25" s="290"/>
      <c r="C25" s="290"/>
      <c r="D25" s="290"/>
      <c r="E25" s="290"/>
      <c r="F25" s="290"/>
      <c r="G25" s="290"/>
      <c r="H25" s="290"/>
      <c r="I25" s="290"/>
      <c r="J25" s="290"/>
      <c r="K25" s="290"/>
      <c r="L25" s="290"/>
      <c r="M25" s="290"/>
      <c r="N25" s="290"/>
      <c r="O25" s="290"/>
      <c r="P25" s="290"/>
      <c r="Q25" s="291"/>
    </row>
    <row r="26" spans="1:20" ht="19">
      <c r="A26" s="41"/>
      <c r="B26" s="41"/>
      <c r="C26" s="217">
        <v>0.5</v>
      </c>
      <c r="D26" s="217">
        <v>0.8</v>
      </c>
      <c r="E26" s="217">
        <v>1</v>
      </c>
      <c r="F26" s="217">
        <v>1.2</v>
      </c>
      <c r="G26" s="217">
        <v>1.5</v>
      </c>
      <c r="H26" s="217">
        <v>2</v>
      </c>
      <c r="I26" s="217">
        <v>2.5</v>
      </c>
      <c r="J26" s="217">
        <v>3</v>
      </c>
      <c r="K26" s="217">
        <v>4</v>
      </c>
      <c r="L26" s="217">
        <v>5</v>
      </c>
      <c r="M26" s="217">
        <v>6</v>
      </c>
      <c r="N26" s="217">
        <v>8</v>
      </c>
      <c r="O26" s="217">
        <v>10</v>
      </c>
      <c r="P26" s="217">
        <v>12</v>
      </c>
      <c r="Q26" s="217">
        <v>14</v>
      </c>
      <c r="R26" s="217">
        <v>16</v>
      </c>
      <c r="S26" s="217">
        <v>18</v>
      </c>
      <c r="T26" s="217">
        <v>20</v>
      </c>
    </row>
    <row r="27" spans="1:20" ht="19">
      <c r="A27" s="83" t="s">
        <v>85</v>
      </c>
      <c r="B27" s="218">
        <v>1</v>
      </c>
      <c r="C27" s="54">
        <f>19*1.15</f>
        <v>21.849999999999998</v>
      </c>
      <c r="D27" s="54">
        <f>19*1.15</f>
        <v>21.849999999999998</v>
      </c>
      <c r="E27" s="54">
        <f t="shared" ref="E27:E29" si="1">19*1.15</f>
        <v>21.849999999999998</v>
      </c>
      <c r="F27" s="55">
        <f>21*1.15</f>
        <v>24.15</v>
      </c>
      <c r="G27" s="55">
        <f>23*1.15</f>
        <v>26.45</v>
      </c>
      <c r="H27" s="55">
        <f t="shared" ref="H27:H29" si="2">25*1.15</f>
        <v>28.749999999999996</v>
      </c>
      <c r="I27" s="55">
        <f>30*1.15</f>
        <v>34.5</v>
      </c>
      <c r="J27" s="55">
        <f>35*1.15</f>
        <v>40.25</v>
      </c>
      <c r="K27" s="55">
        <f>45*1.15</f>
        <v>51.749999999999993</v>
      </c>
      <c r="L27" s="55">
        <f>55*1.15</f>
        <v>63.249999999999993</v>
      </c>
      <c r="M27" s="55">
        <f>65*1.15</f>
        <v>74.75</v>
      </c>
      <c r="N27" s="55">
        <f>75*1.15</f>
        <v>86.25</v>
      </c>
      <c r="O27" s="55">
        <f>105*1.15</f>
        <v>120.74999999999999</v>
      </c>
      <c r="P27" s="55">
        <f>125*1.15</f>
        <v>143.75</v>
      </c>
      <c r="Q27" s="55">
        <f>150*1.15</f>
        <v>172.5</v>
      </c>
      <c r="R27" s="55">
        <f>175*1.15</f>
        <v>201.24999999999997</v>
      </c>
      <c r="S27" s="55">
        <f>250*1.15</f>
        <v>287.5</v>
      </c>
      <c r="T27" s="55">
        <f>300*1.15</f>
        <v>345</v>
      </c>
    </row>
    <row r="28" spans="1:20" ht="19">
      <c r="A28" s="83" t="s">
        <v>86</v>
      </c>
      <c r="B28" s="218">
        <v>2</v>
      </c>
      <c r="C28" s="54">
        <f t="shared" ref="C28:D29" si="3">19*1.15</f>
        <v>21.849999999999998</v>
      </c>
      <c r="D28" s="54">
        <f t="shared" si="3"/>
        <v>21.849999999999998</v>
      </c>
      <c r="E28" s="54">
        <f t="shared" si="1"/>
        <v>21.849999999999998</v>
      </c>
      <c r="F28" s="55">
        <f t="shared" ref="F28:F29" si="4">21*1.15</f>
        <v>24.15</v>
      </c>
      <c r="G28" s="55">
        <f t="shared" ref="G28:G29" si="5">23*1.15</f>
        <v>26.45</v>
      </c>
      <c r="H28" s="55">
        <f t="shared" si="2"/>
        <v>28.749999999999996</v>
      </c>
      <c r="I28" s="55">
        <f t="shared" ref="I28:I29" si="6">30*1.15</f>
        <v>34.5</v>
      </c>
      <c r="J28" s="55">
        <f t="shared" ref="J28:J29" si="7">35*1.15</f>
        <v>40.25</v>
      </c>
      <c r="K28" s="55">
        <f t="shared" ref="K28:K29" si="8">45*1.15</f>
        <v>51.749999999999993</v>
      </c>
      <c r="L28" s="55">
        <f t="shared" ref="L28:L29" si="9">55*1.15</f>
        <v>63.249999999999993</v>
      </c>
      <c r="M28" s="55">
        <f t="shared" ref="M28:M29" si="10">65*1.15</f>
        <v>74.75</v>
      </c>
      <c r="N28" s="55">
        <f t="shared" ref="N28:N29" si="11">75*1.15</f>
        <v>86.25</v>
      </c>
      <c r="O28" s="55">
        <f t="shared" ref="O28:O29" si="12">105*1.15</f>
        <v>120.74999999999999</v>
      </c>
      <c r="P28" s="55">
        <f t="shared" ref="P28:P29" si="13">125*1.15</f>
        <v>143.75</v>
      </c>
      <c r="Q28" s="55">
        <f t="shared" ref="Q28:Q29" si="14">150*1.15</f>
        <v>172.5</v>
      </c>
      <c r="R28" s="55">
        <f t="shared" ref="R28:R29" si="15">175*1.15</f>
        <v>201.24999999999997</v>
      </c>
      <c r="S28" s="55">
        <f t="shared" ref="S28:S29" si="16">250*1.15</f>
        <v>287.5</v>
      </c>
      <c r="T28" s="55">
        <f t="shared" ref="T28:T29" si="17">300*1.15</f>
        <v>345</v>
      </c>
    </row>
    <row r="29" spans="1:20" ht="19">
      <c r="A29" s="83" t="s">
        <v>88</v>
      </c>
      <c r="B29" s="218">
        <v>3</v>
      </c>
      <c r="C29" s="54">
        <f t="shared" si="3"/>
        <v>21.849999999999998</v>
      </c>
      <c r="D29" s="54">
        <f t="shared" si="3"/>
        <v>21.849999999999998</v>
      </c>
      <c r="E29" s="54">
        <f t="shared" si="1"/>
        <v>21.849999999999998</v>
      </c>
      <c r="F29" s="55">
        <f t="shared" si="4"/>
        <v>24.15</v>
      </c>
      <c r="G29" s="55">
        <f t="shared" si="5"/>
        <v>26.45</v>
      </c>
      <c r="H29" s="55">
        <f t="shared" si="2"/>
        <v>28.749999999999996</v>
      </c>
      <c r="I29" s="55">
        <f t="shared" si="6"/>
        <v>34.5</v>
      </c>
      <c r="J29" s="55">
        <f t="shared" si="7"/>
        <v>40.25</v>
      </c>
      <c r="K29" s="55">
        <f t="shared" si="8"/>
        <v>51.749999999999993</v>
      </c>
      <c r="L29" s="55">
        <f t="shared" si="9"/>
        <v>63.249999999999993</v>
      </c>
      <c r="M29" s="55">
        <f t="shared" si="10"/>
        <v>74.75</v>
      </c>
      <c r="N29" s="55">
        <f t="shared" si="11"/>
        <v>86.25</v>
      </c>
      <c r="O29" s="55">
        <f t="shared" si="12"/>
        <v>120.74999999999999</v>
      </c>
      <c r="P29" s="55">
        <f t="shared" si="13"/>
        <v>143.75</v>
      </c>
      <c r="Q29" s="55">
        <f t="shared" si="14"/>
        <v>172.5</v>
      </c>
      <c r="R29" s="55">
        <f t="shared" si="15"/>
        <v>201.24999999999997</v>
      </c>
      <c r="S29" s="55">
        <f t="shared" si="16"/>
        <v>287.5</v>
      </c>
      <c r="T29" s="55">
        <f t="shared" si="17"/>
        <v>345</v>
      </c>
    </row>
    <row r="30" spans="1:20" ht="19">
      <c r="A30" s="194" t="s">
        <v>87</v>
      </c>
      <c r="B30" s="218">
        <v>4</v>
      </c>
      <c r="C30" s="54">
        <f>23*1.15</f>
        <v>26.45</v>
      </c>
      <c r="D30" s="54">
        <f>23*1.15</f>
        <v>26.45</v>
      </c>
      <c r="E30" s="54">
        <f t="shared" ref="E30:E32" si="18">23*1.15</f>
        <v>26.45</v>
      </c>
      <c r="F30" s="55">
        <f>25*1.15</f>
        <v>28.749999999999996</v>
      </c>
      <c r="G30" s="55">
        <f>25*1.15</f>
        <v>28.749999999999996</v>
      </c>
      <c r="H30" s="55">
        <f>35*1.15</f>
        <v>40.25</v>
      </c>
      <c r="I30" s="55">
        <f>50*1.15</f>
        <v>57.499999999999993</v>
      </c>
      <c r="J30" s="55">
        <f>50*1.15</f>
        <v>57.499999999999993</v>
      </c>
      <c r="K30" s="55">
        <f>65*1.15</f>
        <v>74.75</v>
      </c>
      <c r="L30" s="55">
        <f>85*1.15</f>
        <v>97.749999999999986</v>
      </c>
      <c r="M30" s="55">
        <f>110*1.15</f>
        <v>126.49999999999999</v>
      </c>
      <c r="N30" s="55">
        <f>130*1.15</f>
        <v>149.5</v>
      </c>
      <c r="O30" s="55">
        <f>300*1.15</f>
        <v>345</v>
      </c>
      <c r="P30" s="55">
        <f>300*1.15</f>
        <v>345</v>
      </c>
      <c r="Q30" s="55">
        <f>450*1.15</f>
        <v>517.5</v>
      </c>
      <c r="R30" s="55"/>
      <c r="S30" s="55"/>
      <c r="T30" s="55"/>
    </row>
    <row r="31" spans="1:20" ht="19">
      <c r="A31" s="83" t="s">
        <v>89</v>
      </c>
      <c r="B31" s="218">
        <v>5</v>
      </c>
      <c r="C31" s="54"/>
      <c r="D31" s="55"/>
      <c r="E31" s="54">
        <f t="shared" si="18"/>
        <v>26.45</v>
      </c>
      <c r="F31" s="55"/>
      <c r="G31" s="55">
        <f>35*1.15</f>
        <v>40.25</v>
      </c>
      <c r="H31" s="55">
        <f>40*1.15</f>
        <v>46</v>
      </c>
      <c r="I31" s="55">
        <f t="shared" ref="I31:I33" si="19">50*1.15</f>
        <v>57.499999999999993</v>
      </c>
      <c r="J31" s="55">
        <f>55*1.15</f>
        <v>63.249999999999993</v>
      </c>
      <c r="K31" s="55">
        <f>80*1.15</f>
        <v>92</v>
      </c>
      <c r="L31" s="55">
        <f>105*1.15</f>
        <v>120.74999999999999</v>
      </c>
      <c r="M31" s="55">
        <f>125*1.15</f>
        <v>143.75</v>
      </c>
      <c r="N31" s="55">
        <f>225*1.15</f>
        <v>258.75</v>
      </c>
      <c r="O31" s="55">
        <f>450*1.15</f>
        <v>517.5</v>
      </c>
      <c r="P31" s="55">
        <f>500*1.15</f>
        <v>575</v>
      </c>
      <c r="Q31" s="55"/>
      <c r="R31" s="55"/>
      <c r="S31" s="55"/>
      <c r="T31" s="55"/>
    </row>
    <row r="32" spans="1:20" ht="19">
      <c r="A32" s="83" t="s">
        <v>90</v>
      </c>
      <c r="B32" s="218">
        <v>6</v>
      </c>
      <c r="C32" s="54"/>
      <c r="D32" s="55"/>
      <c r="E32" s="54">
        <f t="shared" si="18"/>
        <v>26.45</v>
      </c>
      <c r="F32" s="55"/>
      <c r="G32" s="55">
        <f>35*1.15</f>
        <v>40.25</v>
      </c>
      <c r="H32" s="55">
        <f>40*1.15</f>
        <v>46</v>
      </c>
      <c r="I32" s="55">
        <f t="shared" si="19"/>
        <v>57.499999999999993</v>
      </c>
      <c r="J32" s="55">
        <f>55*1.15</f>
        <v>63.249999999999993</v>
      </c>
      <c r="K32" s="55">
        <f t="shared" ref="K32" si="20">80*1.15</f>
        <v>92</v>
      </c>
      <c r="L32" s="55">
        <f>105*1.15</f>
        <v>120.74999999999999</v>
      </c>
      <c r="M32" s="55">
        <f>125*1.15</f>
        <v>143.75</v>
      </c>
      <c r="N32" s="55">
        <f>225*1.15</f>
        <v>258.75</v>
      </c>
      <c r="O32" s="55">
        <f>450*1.15</f>
        <v>517.5</v>
      </c>
      <c r="P32" s="55">
        <f>500*1.15</f>
        <v>575</v>
      </c>
      <c r="Q32" s="55"/>
      <c r="R32" s="55"/>
      <c r="S32" s="55"/>
      <c r="T32" s="55"/>
    </row>
    <row r="33" spans="1:20" ht="19">
      <c r="A33" s="83" t="s">
        <v>91</v>
      </c>
      <c r="B33" s="218">
        <v>7</v>
      </c>
      <c r="C33" s="54">
        <f t="shared" ref="C33:E33" si="21">23*1.15</f>
        <v>26.45</v>
      </c>
      <c r="D33" s="54">
        <f t="shared" si="21"/>
        <v>26.45</v>
      </c>
      <c r="E33" s="54">
        <f t="shared" si="21"/>
        <v>26.45</v>
      </c>
      <c r="F33" s="55">
        <f>25*1.15</f>
        <v>28.749999999999996</v>
      </c>
      <c r="G33" s="55">
        <f>25*1.15</f>
        <v>28.749999999999996</v>
      </c>
      <c r="H33" s="55">
        <f>35*1.15</f>
        <v>40.25</v>
      </c>
      <c r="I33" s="55">
        <f t="shared" si="19"/>
        <v>57.499999999999993</v>
      </c>
      <c r="J33" s="55">
        <f>50*1.15</f>
        <v>57.499999999999993</v>
      </c>
      <c r="K33" s="55">
        <f>65*1.15</f>
        <v>74.75</v>
      </c>
      <c r="L33" s="55">
        <f>85*1.15</f>
        <v>97.749999999999986</v>
      </c>
      <c r="M33" s="55">
        <f>110*1.15</f>
        <v>126.49999999999999</v>
      </c>
      <c r="N33" s="55">
        <f>130*1.15</f>
        <v>149.5</v>
      </c>
      <c r="O33" s="55">
        <f>300*1.15</f>
        <v>345</v>
      </c>
      <c r="P33" s="55">
        <f>300*1.15</f>
        <v>345</v>
      </c>
      <c r="Q33" s="55">
        <f>450*1.15</f>
        <v>517.5</v>
      </c>
      <c r="R33" s="55"/>
      <c r="S33" s="55"/>
      <c r="T33" s="55"/>
    </row>
    <row r="34" spans="1:20" ht="19">
      <c r="A34" s="83" t="s">
        <v>54</v>
      </c>
      <c r="B34" s="218">
        <v>8</v>
      </c>
      <c r="C34" s="54"/>
      <c r="D34" s="55"/>
      <c r="E34" s="55"/>
      <c r="F34" s="55"/>
      <c r="G34" s="55"/>
      <c r="H34" s="55"/>
      <c r="I34" s="55"/>
      <c r="J34" s="55"/>
      <c r="K34" s="55"/>
      <c r="L34" s="55"/>
      <c r="M34" s="55"/>
      <c r="N34" s="55"/>
      <c r="O34" s="55"/>
      <c r="P34" s="55"/>
      <c r="Q34" s="55"/>
      <c r="R34" s="55"/>
      <c r="S34" s="55"/>
      <c r="T34" s="55"/>
    </row>
    <row r="37" spans="1:20">
      <c r="A37" s="84"/>
      <c r="B37" s="84"/>
      <c r="C37" s="84"/>
    </row>
    <row r="38" spans="1:20">
      <c r="A38" s="84"/>
      <c r="B38" s="84"/>
      <c r="C38" s="84"/>
    </row>
    <row r="39" spans="1:20">
      <c r="A39" s="84"/>
      <c r="B39" s="84"/>
      <c r="C39" s="84"/>
    </row>
    <row r="40" spans="1:20">
      <c r="A40" s="84"/>
      <c r="B40" s="84"/>
      <c r="C40" s="84"/>
    </row>
    <row r="41" spans="1:20">
      <c r="A41" s="84"/>
      <c r="B41" s="84"/>
      <c r="C41" s="84"/>
    </row>
    <row r="42" spans="1:20">
      <c r="A42" s="84"/>
      <c r="B42" s="84"/>
      <c r="C42" s="84"/>
    </row>
    <row r="43" spans="1:20">
      <c r="A43" s="84"/>
      <c r="B43" s="84"/>
      <c r="C43" s="85"/>
    </row>
  </sheetData>
  <mergeCells count="5">
    <mergeCell ref="I1:J2"/>
    <mergeCell ref="X1:AA16"/>
    <mergeCell ref="E2:G2"/>
    <mergeCell ref="A25:Q25"/>
    <mergeCell ref="L1: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G76"/>
  <sheetViews>
    <sheetView zoomScaleNormal="100" zoomScaleSheetLayoutView="55" workbookViewId="0">
      <selection activeCell="F10" sqref="F10"/>
    </sheetView>
  </sheetViews>
  <sheetFormatPr baseColWidth="10" defaultColWidth="8.75" defaultRowHeight="13" outlineLevelCol="4"/>
  <cols>
    <col min="1" max="1" width="4.75" style="108" customWidth="1"/>
    <col min="2" max="2" width="40.25" style="108" customWidth="1"/>
    <col min="3" max="3" width="21.25" style="108" customWidth="1"/>
    <col min="4" max="4" width="11.75" style="108" customWidth="1"/>
    <col min="5" max="5" width="13.25" style="108" customWidth="1"/>
    <col min="6" max="6" width="9.75" style="108" customWidth="1"/>
    <col min="7" max="7" width="10.25" style="108" customWidth="1"/>
    <col min="8" max="8" width="17.75" style="108" customWidth="1"/>
    <col min="9" max="9" width="14.75" style="108" customWidth="1"/>
    <col min="10" max="10" width="15.5" style="108" customWidth="1"/>
    <col min="11" max="11" width="15.75" style="108" customWidth="1"/>
    <col min="12" max="12" width="19.25" style="108" customWidth="1"/>
    <col min="13" max="13" width="12.75" style="108" hidden="1" customWidth="1" outlineLevel="4"/>
    <col min="14" max="14" width="13.75" style="108" hidden="1" customWidth="1" outlineLevel="4"/>
    <col min="15" max="15" width="13" style="108" hidden="1" customWidth="1" outlineLevel="4"/>
    <col min="16" max="16" width="11.25" style="108" hidden="1" customWidth="1" outlineLevel="4"/>
    <col min="17" max="17" width="11.25" style="108" hidden="1" customWidth="1" outlineLevel="3" collapsed="1"/>
    <col min="18" max="20" width="11.25" style="108" hidden="1" customWidth="1" outlineLevel="3"/>
    <col min="21" max="21" width="11.25" style="108" hidden="1" customWidth="1" outlineLevel="2" collapsed="1"/>
    <col min="22" max="24" width="11.25" style="108" hidden="1" customWidth="1" outlineLevel="2"/>
    <col min="25" max="25" width="12.25" style="108" customWidth="1" outlineLevel="1" collapsed="1"/>
    <col min="26" max="26" width="14.25" style="108" customWidth="1" outlineLevel="1"/>
    <col min="27" max="27" width="12.25" style="108" customWidth="1" outlineLevel="1"/>
    <col min="28" max="28" width="9.5" style="108" customWidth="1" outlineLevel="1"/>
    <col min="29" max="29" width="1" style="108" customWidth="1"/>
    <col min="30" max="37" width="3.75" style="108" customWidth="1" outlineLevel="1"/>
    <col min="38" max="38" width="4.75" style="108" bestFit="1" customWidth="1" outlineLevel="1"/>
    <col min="39" max="83" width="3.75" style="108" customWidth="1" outlineLevel="1"/>
    <col min="84" max="84" width="13.75" style="108" customWidth="1"/>
    <col min="85" max="85" width="10.75" style="108" customWidth="1"/>
    <col min="86" max="256" width="9.25" style="108"/>
    <col min="257" max="257" width="4.75" style="108" customWidth="1"/>
    <col min="258" max="258" width="40.25" style="108" customWidth="1"/>
    <col min="259" max="259" width="21.25" style="108" customWidth="1"/>
    <col min="260" max="260" width="11.75" style="108" customWidth="1"/>
    <col min="261" max="261" width="13.25" style="108" customWidth="1"/>
    <col min="262" max="262" width="9.75" style="108" customWidth="1"/>
    <col min="263" max="263" width="10.25" style="108" customWidth="1"/>
    <col min="264" max="264" width="17.75" style="108" customWidth="1"/>
    <col min="265" max="265" width="14.75" style="108" customWidth="1"/>
    <col min="266" max="266" width="15.5" style="108" customWidth="1"/>
    <col min="267" max="267" width="15.75" style="108" customWidth="1"/>
    <col min="268" max="268" width="19.25" style="108" customWidth="1"/>
    <col min="269" max="280" width="0" style="108" hidden="1" customWidth="1"/>
    <col min="281" max="281" width="12.25" style="108" customWidth="1"/>
    <col min="282" max="282" width="14.25" style="108" customWidth="1"/>
    <col min="283" max="283" width="12.25" style="108" customWidth="1"/>
    <col min="284" max="284" width="9.5" style="108" customWidth="1"/>
    <col min="285" max="285" width="1" style="108" customWidth="1"/>
    <col min="286" max="293" width="3.75" style="108" customWidth="1"/>
    <col min="294" max="294" width="4.75" style="108" bestFit="1" customWidth="1"/>
    <col min="295" max="339" width="3.75" style="108" customWidth="1"/>
    <col min="340" max="340" width="13.75" style="108" customWidth="1"/>
    <col min="341" max="341" width="10.75" style="108" customWidth="1"/>
    <col min="342" max="512" width="9.25" style="108"/>
    <col min="513" max="513" width="4.75" style="108" customWidth="1"/>
    <col min="514" max="514" width="40.25" style="108" customWidth="1"/>
    <col min="515" max="515" width="21.25" style="108" customWidth="1"/>
    <col min="516" max="516" width="11.75" style="108" customWidth="1"/>
    <col min="517" max="517" width="13.25" style="108" customWidth="1"/>
    <col min="518" max="518" width="9.75" style="108" customWidth="1"/>
    <col min="519" max="519" width="10.25" style="108" customWidth="1"/>
    <col min="520" max="520" width="17.75" style="108" customWidth="1"/>
    <col min="521" max="521" width="14.75" style="108" customWidth="1"/>
    <col min="522" max="522" width="15.5" style="108" customWidth="1"/>
    <col min="523" max="523" width="15.75" style="108" customWidth="1"/>
    <col min="524" max="524" width="19.25" style="108" customWidth="1"/>
    <col min="525" max="536" width="0" style="108" hidden="1" customWidth="1"/>
    <col min="537" max="537" width="12.25" style="108" customWidth="1"/>
    <col min="538" max="538" width="14.25" style="108" customWidth="1"/>
    <col min="539" max="539" width="12.25" style="108" customWidth="1"/>
    <col min="540" max="540" width="9.5" style="108" customWidth="1"/>
    <col min="541" max="541" width="1" style="108" customWidth="1"/>
    <col min="542" max="549" width="3.75" style="108" customWidth="1"/>
    <col min="550" max="550" width="4.75" style="108" bestFit="1" customWidth="1"/>
    <col min="551" max="595" width="3.75" style="108" customWidth="1"/>
    <col min="596" max="596" width="13.75" style="108" customWidth="1"/>
    <col min="597" max="597" width="10.75" style="108" customWidth="1"/>
    <col min="598" max="768" width="9.25" style="108"/>
    <col min="769" max="769" width="4.75" style="108" customWidth="1"/>
    <col min="770" max="770" width="40.25" style="108" customWidth="1"/>
    <col min="771" max="771" width="21.25" style="108" customWidth="1"/>
    <col min="772" max="772" width="11.75" style="108" customWidth="1"/>
    <col min="773" max="773" width="13.25" style="108" customWidth="1"/>
    <col min="774" max="774" width="9.75" style="108" customWidth="1"/>
    <col min="775" max="775" width="10.25" style="108" customWidth="1"/>
    <col min="776" max="776" width="17.75" style="108" customWidth="1"/>
    <col min="777" max="777" width="14.75" style="108" customWidth="1"/>
    <col min="778" max="778" width="15.5" style="108" customWidth="1"/>
    <col min="779" max="779" width="15.75" style="108" customWidth="1"/>
    <col min="780" max="780" width="19.25" style="108" customWidth="1"/>
    <col min="781" max="792" width="0" style="108" hidden="1" customWidth="1"/>
    <col min="793" max="793" width="12.25" style="108" customWidth="1"/>
    <col min="794" max="794" width="14.25" style="108" customWidth="1"/>
    <col min="795" max="795" width="12.25" style="108" customWidth="1"/>
    <col min="796" max="796" width="9.5" style="108" customWidth="1"/>
    <col min="797" max="797" width="1" style="108" customWidth="1"/>
    <col min="798" max="805" width="3.75" style="108" customWidth="1"/>
    <col min="806" max="806" width="4.75" style="108" bestFit="1" customWidth="1"/>
    <col min="807" max="851" width="3.75" style="108" customWidth="1"/>
    <col min="852" max="852" width="13.75" style="108" customWidth="1"/>
    <col min="853" max="853" width="10.75" style="108" customWidth="1"/>
    <col min="854" max="1024" width="9.25" style="108"/>
    <col min="1025" max="1025" width="4.75" style="108" customWidth="1"/>
    <col min="1026" max="1026" width="40.25" style="108" customWidth="1"/>
    <col min="1027" max="1027" width="21.25" style="108" customWidth="1"/>
    <col min="1028" max="1028" width="11.75" style="108" customWidth="1"/>
    <col min="1029" max="1029" width="13.25" style="108" customWidth="1"/>
    <col min="1030" max="1030" width="9.75" style="108" customWidth="1"/>
    <col min="1031" max="1031" width="10.25" style="108" customWidth="1"/>
    <col min="1032" max="1032" width="17.75" style="108" customWidth="1"/>
    <col min="1033" max="1033" width="14.75" style="108" customWidth="1"/>
    <col min="1034" max="1034" width="15.5" style="108" customWidth="1"/>
    <col min="1035" max="1035" width="15.75" style="108" customWidth="1"/>
    <col min="1036" max="1036" width="19.25" style="108" customWidth="1"/>
    <col min="1037" max="1048" width="0" style="108" hidden="1" customWidth="1"/>
    <col min="1049" max="1049" width="12.25" style="108" customWidth="1"/>
    <col min="1050" max="1050" width="14.25" style="108" customWidth="1"/>
    <col min="1051" max="1051" width="12.25" style="108" customWidth="1"/>
    <col min="1052" max="1052" width="9.5" style="108" customWidth="1"/>
    <col min="1053" max="1053" width="1" style="108" customWidth="1"/>
    <col min="1054" max="1061" width="3.75" style="108" customWidth="1"/>
    <col min="1062" max="1062" width="4.75" style="108" bestFit="1" customWidth="1"/>
    <col min="1063" max="1107" width="3.75" style="108" customWidth="1"/>
    <col min="1108" max="1108" width="13.75" style="108" customWidth="1"/>
    <col min="1109" max="1109" width="10.75" style="108" customWidth="1"/>
    <col min="1110" max="1280" width="9.25" style="108"/>
    <col min="1281" max="1281" width="4.75" style="108" customWidth="1"/>
    <col min="1282" max="1282" width="40.25" style="108" customWidth="1"/>
    <col min="1283" max="1283" width="21.25" style="108" customWidth="1"/>
    <col min="1284" max="1284" width="11.75" style="108" customWidth="1"/>
    <col min="1285" max="1285" width="13.25" style="108" customWidth="1"/>
    <col min="1286" max="1286" width="9.75" style="108" customWidth="1"/>
    <col min="1287" max="1287" width="10.25" style="108" customWidth="1"/>
    <col min="1288" max="1288" width="17.75" style="108" customWidth="1"/>
    <col min="1289" max="1289" width="14.75" style="108" customWidth="1"/>
    <col min="1290" max="1290" width="15.5" style="108" customWidth="1"/>
    <col min="1291" max="1291" width="15.75" style="108" customWidth="1"/>
    <col min="1292" max="1292" width="19.25" style="108" customWidth="1"/>
    <col min="1293" max="1304" width="0" style="108" hidden="1" customWidth="1"/>
    <col min="1305" max="1305" width="12.25" style="108" customWidth="1"/>
    <col min="1306" max="1306" width="14.25" style="108" customWidth="1"/>
    <col min="1307" max="1307" width="12.25" style="108" customWidth="1"/>
    <col min="1308" max="1308" width="9.5" style="108" customWidth="1"/>
    <col min="1309" max="1309" width="1" style="108" customWidth="1"/>
    <col min="1310" max="1317" width="3.75" style="108" customWidth="1"/>
    <col min="1318" max="1318" width="4.75" style="108" bestFit="1" customWidth="1"/>
    <col min="1319" max="1363" width="3.75" style="108" customWidth="1"/>
    <col min="1364" max="1364" width="13.75" style="108" customWidth="1"/>
    <col min="1365" max="1365" width="10.75" style="108" customWidth="1"/>
    <col min="1366" max="1536" width="9.25" style="108"/>
    <col min="1537" max="1537" width="4.75" style="108" customWidth="1"/>
    <col min="1538" max="1538" width="40.25" style="108" customWidth="1"/>
    <col min="1539" max="1539" width="21.25" style="108" customWidth="1"/>
    <col min="1540" max="1540" width="11.75" style="108" customWidth="1"/>
    <col min="1541" max="1541" width="13.25" style="108" customWidth="1"/>
    <col min="1542" max="1542" width="9.75" style="108" customWidth="1"/>
    <col min="1543" max="1543" width="10.25" style="108" customWidth="1"/>
    <col min="1544" max="1544" width="17.75" style="108" customWidth="1"/>
    <col min="1545" max="1545" width="14.75" style="108" customWidth="1"/>
    <col min="1546" max="1546" width="15.5" style="108" customWidth="1"/>
    <col min="1547" max="1547" width="15.75" style="108" customWidth="1"/>
    <col min="1548" max="1548" width="19.25" style="108" customWidth="1"/>
    <col min="1549" max="1560" width="0" style="108" hidden="1" customWidth="1"/>
    <col min="1561" max="1561" width="12.25" style="108" customWidth="1"/>
    <col min="1562" max="1562" width="14.25" style="108" customWidth="1"/>
    <col min="1563" max="1563" width="12.25" style="108" customWidth="1"/>
    <col min="1564" max="1564" width="9.5" style="108" customWidth="1"/>
    <col min="1565" max="1565" width="1" style="108" customWidth="1"/>
    <col min="1566" max="1573" width="3.75" style="108" customWidth="1"/>
    <col min="1574" max="1574" width="4.75" style="108" bestFit="1" customWidth="1"/>
    <col min="1575" max="1619" width="3.75" style="108" customWidth="1"/>
    <col min="1620" max="1620" width="13.75" style="108" customWidth="1"/>
    <col min="1621" max="1621" width="10.75" style="108" customWidth="1"/>
    <col min="1622" max="1792" width="9.25" style="108"/>
    <col min="1793" max="1793" width="4.75" style="108" customWidth="1"/>
    <col min="1794" max="1794" width="40.25" style="108" customWidth="1"/>
    <col min="1795" max="1795" width="21.25" style="108" customWidth="1"/>
    <col min="1796" max="1796" width="11.75" style="108" customWidth="1"/>
    <col min="1797" max="1797" width="13.25" style="108" customWidth="1"/>
    <col min="1798" max="1798" width="9.75" style="108" customWidth="1"/>
    <col min="1799" max="1799" width="10.25" style="108" customWidth="1"/>
    <col min="1800" max="1800" width="17.75" style="108" customWidth="1"/>
    <col min="1801" max="1801" width="14.75" style="108" customWidth="1"/>
    <col min="1802" max="1802" width="15.5" style="108" customWidth="1"/>
    <col min="1803" max="1803" width="15.75" style="108" customWidth="1"/>
    <col min="1804" max="1804" width="19.25" style="108" customWidth="1"/>
    <col min="1805" max="1816" width="0" style="108" hidden="1" customWidth="1"/>
    <col min="1817" max="1817" width="12.25" style="108" customWidth="1"/>
    <col min="1818" max="1818" width="14.25" style="108" customWidth="1"/>
    <col min="1819" max="1819" width="12.25" style="108" customWidth="1"/>
    <col min="1820" max="1820" width="9.5" style="108" customWidth="1"/>
    <col min="1821" max="1821" width="1" style="108" customWidth="1"/>
    <col min="1822" max="1829" width="3.75" style="108" customWidth="1"/>
    <col min="1830" max="1830" width="4.75" style="108" bestFit="1" customWidth="1"/>
    <col min="1831" max="1875" width="3.75" style="108" customWidth="1"/>
    <col min="1876" max="1876" width="13.75" style="108" customWidth="1"/>
    <col min="1877" max="1877" width="10.75" style="108" customWidth="1"/>
    <col min="1878" max="2048" width="9.25" style="108"/>
    <col min="2049" max="2049" width="4.75" style="108" customWidth="1"/>
    <col min="2050" max="2050" width="40.25" style="108" customWidth="1"/>
    <col min="2051" max="2051" width="21.25" style="108" customWidth="1"/>
    <col min="2052" max="2052" width="11.75" style="108" customWidth="1"/>
    <col min="2053" max="2053" width="13.25" style="108" customWidth="1"/>
    <col min="2054" max="2054" width="9.75" style="108" customWidth="1"/>
    <col min="2055" max="2055" width="10.25" style="108" customWidth="1"/>
    <col min="2056" max="2056" width="17.75" style="108" customWidth="1"/>
    <col min="2057" max="2057" width="14.75" style="108" customWidth="1"/>
    <col min="2058" max="2058" width="15.5" style="108" customWidth="1"/>
    <col min="2059" max="2059" width="15.75" style="108" customWidth="1"/>
    <col min="2060" max="2060" width="19.25" style="108" customWidth="1"/>
    <col min="2061" max="2072" width="0" style="108" hidden="1" customWidth="1"/>
    <col min="2073" max="2073" width="12.25" style="108" customWidth="1"/>
    <col min="2074" max="2074" width="14.25" style="108" customWidth="1"/>
    <col min="2075" max="2075" width="12.25" style="108" customWidth="1"/>
    <col min="2076" max="2076" width="9.5" style="108" customWidth="1"/>
    <col min="2077" max="2077" width="1" style="108" customWidth="1"/>
    <col min="2078" max="2085" width="3.75" style="108" customWidth="1"/>
    <col min="2086" max="2086" width="4.75" style="108" bestFit="1" customWidth="1"/>
    <col min="2087" max="2131" width="3.75" style="108" customWidth="1"/>
    <col min="2132" max="2132" width="13.75" style="108" customWidth="1"/>
    <col min="2133" max="2133" width="10.75" style="108" customWidth="1"/>
    <col min="2134" max="2304" width="9.25" style="108"/>
    <col min="2305" max="2305" width="4.75" style="108" customWidth="1"/>
    <col min="2306" max="2306" width="40.25" style="108" customWidth="1"/>
    <col min="2307" max="2307" width="21.25" style="108" customWidth="1"/>
    <col min="2308" max="2308" width="11.75" style="108" customWidth="1"/>
    <col min="2309" max="2309" width="13.25" style="108" customWidth="1"/>
    <col min="2310" max="2310" width="9.75" style="108" customWidth="1"/>
    <col min="2311" max="2311" width="10.25" style="108" customWidth="1"/>
    <col min="2312" max="2312" width="17.75" style="108" customWidth="1"/>
    <col min="2313" max="2313" width="14.75" style="108" customWidth="1"/>
    <col min="2314" max="2314" width="15.5" style="108" customWidth="1"/>
    <col min="2315" max="2315" width="15.75" style="108" customWidth="1"/>
    <col min="2316" max="2316" width="19.25" style="108" customWidth="1"/>
    <col min="2317" max="2328" width="0" style="108" hidden="1" customWidth="1"/>
    <col min="2329" max="2329" width="12.25" style="108" customWidth="1"/>
    <col min="2330" max="2330" width="14.25" style="108" customWidth="1"/>
    <col min="2331" max="2331" width="12.25" style="108" customWidth="1"/>
    <col min="2332" max="2332" width="9.5" style="108" customWidth="1"/>
    <col min="2333" max="2333" width="1" style="108" customWidth="1"/>
    <col min="2334" max="2341" width="3.75" style="108" customWidth="1"/>
    <col min="2342" max="2342" width="4.75" style="108" bestFit="1" customWidth="1"/>
    <col min="2343" max="2387" width="3.75" style="108" customWidth="1"/>
    <col min="2388" max="2388" width="13.75" style="108" customWidth="1"/>
    <col min="2389" max="2389" width="10.75" style="108" customWidth="1"/>
    <col min="2390" max="2560" width="9.25" style="108"/>
    <col min="2561" max="2561" width="4.75" style="108" customWidth="1"/>
    <col min="2562" max="2562" width="40.25" style="108" customWidth="1"/>
    <col min="2563" max="2563" width="21.25" style="108" customWidth="1"/>
    <col min="2564" max="2564" width="11.75" style="108" customWidth="1"/>
    <col min="2565" max="2565" width="13.25" style="108" customWidth="1"/>
    <col min="2566" max="2566" width="9.75" style="108" customWidth="1"/>
    <col min="2567" max="2567" width="10.25" style="108" customWidth="1"/>
    <col min="2568" max="2568" width="17.75" style="108" customWidth="1"/>
    <col min="2569" max="2569" width="14.75" style="108" customWidth="1"/>
    <col min="2570" max="2570" width="15.5" style="108" customWidth="1"/>
    <col min="2571" max="2571" width="15.75" style="108" customWidth="1"/>
    <col min="2572" max="2572" width="19.25" style="108" customWidth="1"/>
    <col min="2573" max="2584" width="0" style="108" hidden="1" customWidth="1"/>
    <col min="2585" max="2585" width="12.25" style="108" customWidth="1"/>
    <col min="2586" max="2586" width="14.25" style="108" customWidth="1"/>
    <col min="2587" max="2587" width="12.25" style="108" customWidth="1"/>
    <col min="2588" max="2588" width="9.5" style="108" customWidth="1"/>
    <col min="2589" max="2589" width="1" style="108" customWidth="1"/>
    <col min="2590" max="2597" width="3.75" style="108" customWidth="1"/>
    <col min="2598" max="2598" width="4.75" style="108" bestFit="1" customWidth="1"/>
    <col min="2599" max="2643" width="3.75" style="108" customWidth="1"/>
    <col min="2644" max="2644" width="13.75" style="108" customWidth="1"/>
    <col min="2645" max="2645" width="10.75" style="108" customWidth="1"/>
    <col min="2646" max="2816" width="9.25" style="108"/>
    <col min="2817" max="2817" width="4.75" style="108" customWidth="1"/>
    <col min="2818" max="2818" width="40.25" style="108" customWidth="1"/>
    <col min="2819" max="2819" width="21.25" style="108" customWidth="1"/>
    <col min="2820" max="2820" width="11.75" style="108" customWidth="1"/>
    <col min="2821" max="2821" width="13.25" style="108" customWidth="1"/>
    <col min="2822" max="2822" width="9.75" style="108" customWidth="1"/>
    <col min="2823" max="2823" width="10.25" style="108" customWidth="1"/>
    <col min="2824" max="2824" width="17.75" style="108" customWidth="1"/>
    <col min="2825" max="2825" width="14.75" style="108" customWidth="1"/>
    <col min="2826" max="2826" width="15.5" style="108" customWidth="1"/>
    <col min="2827" max="2827" width="15.75" style="108" customWidth="1"/>
    <col min="2828" max="2828" width="19.25" style="108" customWidth="1"/>
    <col min="2829" max="2840" width="0" style="108" hidden="1" customWidth="1"/>
    <col min="2841" max="2841" width="12.25" style="108" customWidth="1"/>
    <col min="2842" max="2842" width="14.25" style="108" customWidth="1"/>
    <col min="2843" max="2843" width="12.25" style="108" customWidth="1"/>
    <col min="2844" max="2844" width="9.5" style="108" customWidth="1"/>
    <col min="2845" max="2845" width="1" style="108" customWidth="1"/>
    <col min="2846" max="2853" width="3.75" style="108" customWidth="1"/>
    <col min="2854" max="2854" width="4.75" style="108" bestFit="1" customWidth="1"/>
    <col min="2855" max="2899" width="3.75" style="108" customWidth="1"/>
    <col min="2900" max="2900" width="13.75" style="108" customWidth="1"/>
    <col min="2901" max="2901" width="10.75" style="108" customWidth="1"/>
    <col min="2902" max="3072" width="9.25" style="108"/>
    <col min="3073" max="3073" width="4.75" style="108" customWidth="1"/>
    <col min="3074" max="3074" width="40.25" style="108" customWidth="1"/>
    <col min="3075" max="3075" width="21.25" style="108" customWidth="1"/>
    <col min="3076" max="3076" width="11.75" style="108" customWidth="1"/>
    <col min="3077" max="3077" width="13.25" style="108" customWidth="1"/>
    <col min="3078" max="3078" width="9.75" style="108" customWidth="1"/>
    <col min="3079" max="3079" width="10.25" style="108" customWidth="1"/>
    <col min="3080" max="3080" width="17.75" style="108" customWidth="1"/>
    <col min="3081" max="3081" width="14.75" style="108" customWidth="1"/>
    <col min="3082" max="3082" width="15.5" style="108" customWidth="1"/>
    <col min="3083" max="3083" width="15.75" style="108" customWidth="1"/>
    <col min="3084" max="3084" width="19.25" style="108" customWidth="1"/>
    <col min="3085" max="3096" width="0" style="108" hidden="1" customWidth="1"/>
    <col min="3097" max="3097" width="12.25" style="108" customWidth="1"/>
    <col min="3098" max="3098" width="14.25" style="108" customWidth="1"/>
    <col min="3099" max="3099" width="12.25" style="108" customWidth="1"/>
    <col min="3100" max="3100" width="9.5" style="108" customWidth="1"/>
    <col min="3101" max="3101" width="1" style="108" customWidth="1"/>
    <col min="3102" max="3109" width="3.75" style="108" customWidth="1"/>
    <col min="3110" max="3110" width="4.75" style="108" bestFit="1" customWidth="1"/>
    <col min="3111" max="3155" width="3.75" style="108" customWidth="1"/>
    <col min="3156" max="3156" width="13.75" style="108" customWidth="1"/>
    <col min="3157" max="3157" width="10.75" style="108" customWidth="1"/>
    <col min="3158" max="3328" width="9.25" style="108"/>
    <col min="3329" max="3329" width="4.75" style="108" customWidth="1"/>
    <col min="3330" max="3330" width="40.25" style="108" customWidth="1"/>
    <col min="3331" max="3331" width="21.25" style="108" customWidth="1"/>
    <col min="3332" max="3332" width="11.75" style="108" customWidth="1"/>
    <col min="3333" max="3333" width="13.25" style="108" customWidth="1"/>
    <col min="3334" max="3334" width="9.75" style="108" customWidth="1"/>
    <col min="3335" max="3335" width="10.25" style="108" customWidth="1"/>
    <col min="3336" max="3336" width="17.75" style="108" customWidth="1"/>
    <col min="3337" max="3337" width="14.75" style="108" customWidth="1"/>
    <col min="3338" max="3338" width="15.5" style="108" customWidth="1"/>
    <col min="3339" max="3339" width="15.75" style="108" customWidth="1"/>
    <col min="3340" max="3340" width="19.25" style="108" customWidth="1"/>
    <col min="3341" max="3352" width="0" style="108" hidden="1" customWidth="1"/>
    <col min="3353" max="3353" width="12.25" style="108" customWidth="1"/>
    <col min="3354" max="3354" width="14.25" style="108" customWidth="1"/>
    <col min="3355" max="3355" width="12.25" style="108" customWidth="1"/>
    <col min="3356" max="3356" width="9.5" style="108" customWidth="1"/>
    <col min="3357" max="3357" width="1" style="108" customWidth="1"/>
    <col min="3358" max="3365" width="3.75" style="108" customWidth="1"/>
    <col min="3366" max="3366" width="4.75" style="108" bestFit="1" customWidth="1"/>
    <col min="3367" max="3411" width="3.75" style="108" customWidth="1"/>
    <col min="3412" max="3412" width="13.75" style="108" customWidth="1"/>
    <col min="3413" max="3413" width="10.75" style="108" customWidth="1"/>
    <col min="3414" max="3584" width="9.25" style="108"/>
    <col min="3585" max="3585" width="4.75" style="108" customWidth="1"/>
    <col min="3586" max="3586" width="40.25" style="108" customWidth="1"/>
    <col min="3587" max="3587" width="21.25" style="108" customWidth="1"/>
    <col min="3588" max="3588" width="11.75" style="108" customWidth="1"/>
    <col min="3589" max="3589" width="13.25" style="108" customWidth="1"/>
    <col min="3590" max="3590" width="9.75" style="108" customWidth="1"/>
    <col min="3591" max="3591" width="10.25" style="108" customWidth="1"/>
    <col min="3592" max="3592" width="17.75" style="108" customWidth="1"/>
    <col min="3593" max="3593" width="14.75" style="108" customWidth="1"/>
    <col min="3594" max="3594" width="15.5" style="108" customWidth="1"/>
    <col min="3595" max="3595" width="15.75" style="108" customWidth="1"/>
    <col min="3596" max="3596" width="19.25" style="108" customWidth="1"/>
    <col min="3597" max="3608" width="0" style="108" hidden="1" customWidth="1"/>
    <col min="3609" max="3609" width="12.25" style="108" customWidth="1"/>
    <col min="3610" max="3610" width="14.25" style="108" customWidth="1"/>
    <col min="3611" max="3611" width="12.25" style="108" customWidth="1"/>
    <col min="3612" max="3612" width="9.5" style="108" customWidth="1"/>
    <col min="3613" max="3613" width="1" style="108" customWidth="1"/>
    <col min="3614" max="3621" width="3.75" style="108" customWidth="1"/>
    <col min="3622" max="3622" width="4.75" style="108" bestFit="1" customWidth="1"/>
    <col min="3623" max="3667" width="3.75" style="108" customWidth="1"/>
    <col min="3668" max="3668" width="13.75" style="108" customWidth="1"/>
    <col min="3669" max="3669" width="10.75" style="108" customWidth="1"/>
    <col min="3670" max="3840" width="9.25" style="108"/>
    <col min="3841" max="3841" width="4.75" style="108" customWidth="1"/>
    <col min="3842" max="3842" width="40.25" style="108" customWidth="1"/>
    <col min="3843" max="3843" width="21.25" style="108" customWidth="1"/>
    <col min="3844" max="3844" width="11.75" style="108" customWidth="1"/>
    <col min="3845" max="3845" width="13.25" style="108" customWidth="1"/>
    <col min="3846" max="3846" width="9.75" style="108" customWidth="1"/>
    <col min="3847" max="3847" width="10.25" style="108" customWidth="1"/>
    <col min="3848" max="3848" width="17.75" style="108" customWidth="1"/>
    <col min="3849" max="3849" width="14.75" style="108" customWidth="1"/>
    <col min="3850" max="3850" width="15.5" style="108" customWidth="1"/>
    <col min="3851" max="3851" width="15.75" style="108" customWidth="1"/>
    <col min="3852" max="3852" width="19.25" style="108" customWidth="1"/>
    <col min="3853" max="3864" width="0" style="108" hidden="1" customWidth="1"/>
    <col min="3865" max="3865" width="12.25" style="108" customWidth="1"/>
    <col min="3866" max="3866" width="14.25" style="108" customWidth="1"/>
    <col min="3867" max="3867" width="12.25" style="108" customWidth="1"/>
    <col min="3868" max="3868" width="9.5" style="108" customWidth="1"/>
    <col min="3869" max="3869" width="1" style="108" customWidth="1"/>
    <col min="3870" max="3877" width="3.75" style="108" customWidth="1"/>
    <col min="3878" max="3878" width="4.75" style="108" bestFit="1" customWidth="1"/>
    <col min="3879" max="3923" width="3.75" style="108" customWidth="1"/>
    <col min="3924" max="3924" width="13.75" style="108" customWidth="1"/>
    <col min="3925" max="3925" width="10.75" style="108" customWidth="1"/>
    <col min="3926" max="4096" width="9.25" style="108"/>
    <col min="4097" max="4097" width="4.75" style="108" customWidth="1"/>
    <col min="4098" max="4098" width="40.25" style="108" customWidth="1"/>
    <col min="4099" max="4099" width="21.25" style="108" customWidth="1"/>
    <col min="4100" max="4100" width="11.75" style="108" customWidth="1"/>
    <col min="4101" max="4101" width="13.25" style="108" customWidth="1"/>
    <col min="4102" max="4102" width="9.75" style="108" customWidth="1"/>
    <col min="4103" max="4103" width="10.25" style="108" customWidth="1"/>
    <col min="4104" max="4104" width="17.75" style="108" customWidth="1"/>
    <col min="4105" max="4105" width="14.75" style="108" customWidth="1"/>
    <col min="4106" max="4106" width="15.5" style="108" customWidth="1"/>
    <col min="4107" max="4107" width="15.75" style="108" customWidth="1"/>
    <col min="4108" max="4108" width="19.25" style="108" customWidth="1"/>
    <col min="4109" max="4120" width="0" style="108" hidden="1" customWidth="1"/>
    <col min="4121" max="4121" width="12.25" style="108" customWidth="1"/>
    <col min="4122" max="4122" width="14.25" style="108" customWidth="1"/>
    <col min="4123" max="4123" width="12.25" style="108" customWidth="1"/>
    <col min="4124" max="4124" width="9.5" style="108" customWidth="1"/>
    <col min="4125" max="4125" width="1" style="108" customWidth="1"/>
    <col min="4126" max="4133" width="3.75" style="108" customWidth="1"/>
    <col min="4134" max="4134" width="4.75" style="108" bestFit="1" customWidth="1"/>
    <col min="4135" max="4179" width="3.75" style="108" customWidth="1"/>
    <col min="4180" max="4180" width="13.75" style="108" customWidth="1"/>
    <col min="4181" max="4181" width="10.75" style="108" customWidth="1"/>
    <col min="4182" max="4352" width="9.25" style="108"/>
    <col min="4353" max="4353" width="4.75" style="108" customWidth="1"/>
    <col min="4354" max="4354" width="40.25" style="108" customWidth="1"/>
    <col min="4355" max="4355" width="21.25" style="108" customWidth="1"/>
    <col min="4356" max="4356" width="11.75" style="108" customWidth="1"/>
    <col min="4357" max="4357" width="13.25" style="108" customWidth="1"/>
    <col min="4358" max="4358" width="9.75" style="108" customWidth="1"/>
    <col min="4359" max="4359" width="10.25" style="108" customWidth="1"/>
    <col min="4360" max="4360" width="17.75" style="108" customWidth="1"/>
    <col min="4361" max="4361" width="14.75" style="108" customWidth="1"/>
    <col min="4362" max="4362" width="15.5" style="108" customWidth="1"/>
    <col min="4363" max="4363" width="15.75" style="108" customWidth="1"/>
    <col min="4364" max="4364" width="19.25" style="108" customWidth="1"/>
    <col min="4365" max="4376" width="0" style="108" hidden="1" customWidth="1"/>
    <col min="4377" max="4377" width="12.25" style="108" customWidth="1"/>
    <col min="4378" max="4378" width="14.25" style="108" customWidth="1"/>
    <col min="4379" max="4379" width="12.25" style="108" customWidth="1"/>
    <col min="4380" max="4380" width="9.5" style="108" customWidth="1"/>
    <col min="4381" max="4381" width="1" style="108" customWidth="1"/>
    <col min="4382" max="4389" width="3.75" style="108" customWidth="1"/>
    <col min="4390" max="4390" width="4.75" style="108" bestFit="1" customWidth="1"/>
    <col min="4391" max="4435" width="3.75" style="108" customWidth="1"/>
    <col min="4436" max="4436" width="13.75" style="108" customWidth="1"/>
    <col min="4437" max="4437" width="10.75" style="108" customWidth="1"/>
    <col min="4438" max="4608" width="9.25" style="108"/>
    <col min="4609" max="4609" width="4.75" style="108" customWidth="1"/>
    <col min="4610" max="4610" width="40.25" style="108" customWidth="1"/>
    <col min="4611" max="4611" width="21.25" style="108" customWidth="1"/>
    <col min="4612" max="4612" width="11.75" style="108" customWidth="1"/>
    <col min="4613" max="4613" width="13.25" style="108" customWidth="1"/>
    <col min="4614" max="4614" width="9.75" style="108" customWidth="1"/>
    <col min="4615" max="4615" width="10.25" style="108" customWidth="1"/>
    <col min="4616" max="4616" width="17.75" style="108" customWidth="1"/>
    <col min="4617" max="4617" width="14.75" style="108" customWidth="1"/>
    <col min="4618" max="4618" width="15.5" style="108" customWidth="1"/>
    <col min="4619" max="4619" width="15.75" style="108" customWidth="1"/>
    <col min="4620" max="4620" width="19.25" style="108" customWidth="1"/>
    <col min="4621" max="4632" width="0" style="108" hidden="1" customWidth="1"/>
    <col min="4633" max="4633" width="12.25" style="108" customWidth="1"/>
    <col min="4634" max="4634" width="14.25" style="108" customWidth="1"/>
    <col min="4635" max="4635" width="12.25" style="108" customWidth="1"/>
    <col min="4636" max="4636" width="9.5" style="108" customWidth="1"/>
    <col min="4637" max="4637" width="1" style="108" customWidth="1"/>
    <col min="4638" max="4645" width="3.75" style="108" customWidth="1"/>
    <col min="4646" max="4646" width="4.75" style="108" bestFit="1" customWidth="1"/>
    <col min="4647" max="4691" width="3.75" style="108" customWidth="1"/>
    <col min="4692" max="4692" width="13.75" style="108" customWidth="1"/>
    <col min="4693" max="4693" width="10.75" style="108" customWidth="1"/>
    <col min="4694" max="4864" width="9.25" style="108"/>
    <col min="4865" max="4865" width="4.75" style="108" customWidth="1"/>
    <col min="4866" max="4866" width="40.25" style="108" customWidth="1"/>
    <col min="4867" max="4867" width="21.25" style="108" customWidth="1"/>
    <col min="4868" max="4868" width="11.75" style="108" customWidth="1"/>
    <col min="4869" max="4869" width="13.25" style="108" customWidth="1"/>
    <col min="4870" max="4870" width="9.75" style="108" customWidth="1"/>
    <col min="4871" max="4871" width="10.25" style="108" customWidth="1"/>
    <col min="4872" max="4872" width="17.75" style="108" customWidth="1"/>
    <col min="4873" max="4873" width="14.75" style="108" customWidth="1"/>
    <col min="4874" max="4874" width="15.5" style="108" customWidth="1"/>
    <col min="4875" max="4875" width="15.75" style="108" customWidth="1"/>
    <col min="4876" max="4876" width="19.25" style="108" customWidth="1"/>
    <col min="4877" max="4888" width="0" style="108" hidden="1" customWidth="1"/>
    <col min="4889" max="4889" width="12.25" style="108" customWidth="1"/>
    <col min="4890" max="4890" width="14.25" style="108" customWidth="1"/>
    <col min="4891" max="4891" width="12.25" style="108" customWidth="1"/>
    <col min="4892" max="4892" width="9.5" style="108" customWidth="1"/>
    <col min="4893" max="4893" width="1" style="108" customWidth="1"/>
    <col min="4894" max="4901" width="3.75" style="108" customWidth="1"/>
    <col min="4902" max="4902" width="4.75" style="108" bestFit="1" customWidth="1"/>
    <col min="4903" max="4947" width="3.75" style="108" customWidth="1"/>
    <col min="4948" max="4948" width="13.75" style="108" customWidth="1"/>
    <col min="4949" max="4949" width="10.75" style="108" customWidth="1"/>
    <col min="4950" max="5120" width="9.25" style="108"/>
    <col min="5121" max="5121" width="4.75" style="108" customWidth="1"/>
    <col min="5122" max="5122" width="40.25" style="108" customWidth="1"/>
    <col min="5123" max="5123" width="21.25" style="108" customWidth="1"/>
    <col min="5124" max="5124" width="11.75" style="108" customWidth="1"/>
    <col min="5125" max="5125" width="13.25" style="108" customWidth="1"/>
    <col min="5126" max="5126" width="9.75" style="108" customWidth="1"/>
    <col min="5127" max="5127" width="10.25" style="108" customWidth="1"/>
    <col min="5128" max="5128" width="17.75" style="108" customWidth="1"/>
    <col min="5129" max="5129" width="14.75" style="108" customWidth="1"/>
    <col min="5130" max="5130" width="15.5" style="108" customWidth="1"/>
    <col min="5131" max="5131" width="15.75" style="108" customWidth="1"/>
    <col min="5132" max="5132" width="19.25" style="108" customWidth="1"/>
    <col min="5133" max="5144" width="0" style="108" hidden="1" customWidth="1"/>
    <col min="5145" max="5145" width="12.25" style="108" customWidth="1"/>
    <col min="5146" max="5146" width="14.25" style="108" customWidth="1"/>
    <col min="5147" max="5147" width="12.25" style="108" customWidth="1"/>
    <col min="5148" max="5148" width="9.5" style="108" customWidth="1"/>
    <col min="5149" max="5149" width="1" style="108" customWidth="1"/>
    <col min="5150" max="5157" width="3.75" style="108" customWidth="1"/>
    <col min="5158" max="5158" width="4.75" style="108" bestFit="1" customWidth="1"/>
    <col min="5159" max="5203" width="3.75" style="108" customWidth="1"/>
    <col min="5204" max="5204" width="13.75" style="108" customWidth="1"/>
    <col min="5205" max="5205" width="10.75" style="108" customWidth="1"/>
    <col min="5206" max="5376" width="9.25" style="108"/>
    <col min="5377" max="5377" width="4.75" style="108" customWidth="1"/>
    <col min="5378" max="5378" width="40.25" style="108" customWidth="1"/>
    <col min="5379" max="5379" width="21.25" style="108" customWidth="1"/>
    <col min="5380" max="5380" width="11.75" style="108" customWidth="1"/>
    <col min="5381" max="5381" width="13.25" style="108" customWidth="1"/>
    <col min="5382" max="5382" width="9.75" style="108" customWidth="1"/>
    <col min="5383" max="5383" width="10.25" style="108" customWidth="1"/>
    <col min="5384" max="5384" width="17.75" style="108" customWidth="1"/>
    <col min="5385" max="5385" width="14.75" style="108" customWidth="1"/>
    <col min="5386" max="5386" width="15.5" style="108" customWidth="1"/>
    <col min="5387" max="5387" width="15.75" style="108" customWidth="1"/>
    <col min="5388" max="5388" width="19.25" style="108" customWidth="1"/>
    <col min="5389" max="5400" width="0" style="108" hidden="1" customWidth="1"/>
    <col min="5401" max="5401" width="12.25" style="108" customWidth="1"/>
    <col min="5402" max="5402" width="14.25" style="108" customWidth="1"/>
    <col min="5403" max="5403" width="12.25" style="108" customWidth="1"/>
    <col min="5404" max="5404" width="9.5" style="108" customWidth="1"/>
    <col min="5405" max="5405" width="1" style="108" customWidth="1"/>
    <col min="5406" max="5413" width="3.75" style="108" customWidth="1"/>
    <col min="5414" max="5414" width="4.75" style="108" bestFit="1" customWidth="1"/>
    <col min="5415" max="5459" width="3.75" style="108" customWidth="1"/>
    <col min="5460" max="5460" width="13.75" style="108" customWidth="1"/>
    <col min="5461" max="5461" width="10.75" style="108" customWidth="1"/>
    <col min="5462" max="5632" width="9.25" style="108"/>
    <col min="5633" max="5633" width="4.75" style="108" customWidth="1"/>
    <col min="5634" max="5634" width="40.25" style="108" customWidth="1"/>
    <col min="5635" max="5635" width="21.25" style="108" customWidth="1"/>
    <col min="5636" max="5636" width="11.75" style="108" customWidth="1"/>
    <col min="5637" max="5637" width="13.25" style="108" customWidth="1"/>
    <col min="5638" max="5638" width="9.75" style="108" customWidth="1"/>
    <col min="5639" max="5639" width="10.25" style="108" customWidth="1"/>
    <col min="5640" max="5640" width="17.75" style="108" customWidth="1"/>
    <col min="5641" max="5641" width="14.75" style="108" customWidth="1"/>
    <col min="5642" max="5642" width="15.5" style="108" customWidth="1"/>
    <col min="5643" max="5643" width="15.75" style="108" customWidth="1"/>
    <col min="5644" max="5644" width="19.25" style="108" customWidth="1"/>
    <col min="5645" max="5656" width="0" style="108" hidden="1" customWidth="1"/>
    <col min="5657" max="5657" width="12.25" style="108" customWidth="1"/>
    <col min="5658" max="5658" width="14.25" style="108" customWidth="1"/>
    <col min="5659" max="5659" width="12.25" style="108" customWidth="1"/>
    <col min="5660" max="5660" width="9.5" style="108" customWidth="1"/>
    <col min="5661" max="5661" width="1" style="108" customWidth="1"/>
    <col min="5662" max="5669" width="3.75" style="108" customWidth="1"/>
    <col min="5670" max="5670" width="4.75" style="108" bestFit="1" customWidth="1"/>
    <col min="5671" max="5715" width="3.75" style="108" customWidth="1"/>
    <col min="5716" max="5716" width="13.75" style="108" customWidth="1"/>
    <col min="5717" max="5717" width="10.75" style="108" customWidth="1"/>
    <col min="5718" max="5888" width="9.25" style="108"/>
    <col min="5889" max="5889" width="4.75" style="108" customWidth="1"/>
    <col min="5890" max="5890" width="40.25" style="108" customWidth="1"/>
    <col min="5891" max="5891" width="21.25" style="108" customWidth="1"/>
    <col min="5892" max="5892" width="11.75" style="108" customWidth="1"/>
    <col min="5893" max="5893" width="13.25" style="108" customWidth="1"/>
    <col min="5894" max="5894" width="9.75" style="108" customWidth="1"/>
    <col min="5895" max="5895" width="10.25" style="108" customWidth="1"/>
    <col min="5896" max="5896" width="17.75" style="108" customWidth="1"/>
    <col min="5897" max="5897" width="14.75" style="108" customWidth="1"/>
    <col min="5898" max="5898" width="15.5" style="108" customWidth="1"/>
    <col min="5899" max="5899" width="15.75" style="108" customWidth="1"/>
    <col min="5900" max="5900" width="19.25" style="108" customWidth="1"/>
    <col min="5901" max="5912" width="0" style="108" hidden="1" customWidth="1"/>
    <col min="5913" max="5913" width="12.25" style="108" customWidth="1"/>
    <col min="5914" max="5914" width="14.25" style="108" customWidth="1"/>
    <col min="5915" max="5915" width="12.25" style="108" customWidth="1"/>
    <col min="5916" max="5916" width="9.5" style="108" customWidth="1"/>
    <col min="5917" max="5917" width="1" style="108" customWidth="1"/>
    <col min="5918" max="5925" width="3.75" style="108" customWidth="1"/>
    <col min="5926" max="5926" width="4.75" style="108" bestFit="1" customWidth="1"/>
    <col min="5927" max="5971" width="3.75" style="108" customWidth="1"/>
    <col min="5972" max="5972" width="13.75" style="108" customWidth="1"/>
    <col min="5973" max="5973" width="10.75" style="108" customWidth="1"/>
    <col min="5974" max="6144" width="9.25" style="108"/>
    <col min="6145" max="6145" width="4.75" style="108" customWidth="1"/>
    <col min="6146" max="6146" width="40.25" style="108" customWidth="1"/>
    <col min="6147" max="6147" width="21.25" style="108" customWidth="1"/>
    <col min="6148" max="6148" width="11.75" style="108" customWidth="1"/>
    <col min="6149" max="6149" width="13.25" style="108" customWidth="1"/>
    <col min="6150" max="6150" width="9.75" style="108" customWidth="1"/>
    <col min="6151" max="6151" width="10.25" style="108" customWidth="1"/>
    <col min="6152" max="6152" width="17.75" style="108" customWidth="1"/>
    <col min="6153" max="6153" width="14.75" style="108" customWidth="1"/>
    <col min="6154" max="6154" width="15.5" style="108" customWidth="1"/>
    <col min="6155" max="6155" width="15.75" style="108" customWidth="1"/>
    <col min="6156" max="6156" width="19.25" style="108" customWidth="1"/>
    <col min="6157" max="6168" width="0" style="108" hidden="1" customWidth="1"/>
    <col min="6169" max="6169" width="12.25" style="108" customWidth="1"/>
    <col min="6170" max="6170" width="14.25" style="108" customWidth="1"/>
    <col min="6171" max="6171" width="12.25" style="108" customWidth="1"/>
    <col min="6172" max="6172" width="9.5" style="108" customWidth="1"/>
    <col min="6173" max="6173" width="1" style="108" customWidth="1"/>
    <col min="6174" max="6181" width="3.75" style="108" customWidth="1"/>
    <col min="6182" max="6182" width="4.75" style="108" bestFit="1" customWidth="1"/>
    <col min="6183" max="6227" width="3.75" style="108" customWidth="1"/>
    <col min="6228" max="6228" width="13.75" style="108" customWidth="1"/>
    <col min="6229" max="6229" width="10.75" style="108" customWidth="1"/>
    <col min="6230" max="6400" width="9.25" style="108"/>
    <col min="6401" max="6401" width="4.75" style="108" customWidth="1"/>
    <col min="6402" max="6402" width="40.25" style="108" customWidth="1"/>
    <col min="6403" max="6403" width="21.25" style="108" customWidth="1"/>
    <col min="6404" max="6404" width="11.75" style="108" customWidth="1"/>
    <col min="6405" max="6405" width="13.25" style="108" customWidth="1"/>
    <col min="6406" max="6406" width="9.75" style="108" customWidth="1"/>
    <col min="6407" max="6407" width="10.25" style="108" customWidth="1"/>
    <col min="6408" max="6408" width="17.75" style="108" customWidth="1"/>
    <col min="6409" max="6409" width="14.75" style="108" customWidth="1"/>
    <col min="6410" max="6410" width="15.5" style="108" customWidth="1"/>
    <col min="6411" max="6411" width="15.75" style="108" customWidth="1"/>
    <col min="6412" max="6412" width="19.25" style="108" customWidth="1"/>
    <col min="6413" max="6424" width="0" style="108" hidden="1" customWidth="1"/>
    <col min="6425" max="6425" width="12.25" style="108" customWidth="1"/>
    <col min="6426" max="6426" width="14.25" style="108" customWidth="1"/>
    <col min="6427" max="6427" width="12.25" style="108" customWidth="1"/>
    <col min="6428" max="6428" width="9.5" style="108" customWidth="1"/>
    <col min="6429" max="6429" width="1" style="108" customWidth="1"/>
    <col min="6430" max="6437" width="3.75" style="108" customWidth="1"/>
    <col min="6438" max="6438" width="4.75" style="108" bestFit="1" customWidth="1"/>
    <col min="6439" max="6483" width="3.75" style="108" customWidth="1"/>
    <col min="6484" max="6484" width="13.75" style="108" customWidth="1"/>
    <col min="6485" max="6485" width="10.75" style="108" customWidth="1"/>
    <col min="6486" max="6656" width="9.25" style="108"/>
    <col min="6657" max="6657" width="4.75" style="108" customWidth="1"/>
    <col min="6658" max="6658" width="40.25" style="108" customWidth="1"/>
    <col min="6659" max="6659" width="21.25" style="108" customWidth="1"/>
    <col min="6660" max="6660" width="11.75" style="108" customWidth="1"/>
    <col min="6661" max="6661" width="13.25" style="108" customWidth="1"/>
    <col min="6662" max="6662" width="9.75" style="108" customWidth="1"/>
    <col min="6663" max="6663" width="10.25" style="108" customWidth="1"/>
    <col min="6664" max="6664" width="17.75" style="108" customWidth="1"/>
    <col min="6665" max="6665" width="14.75" style="108" customWidth="1"/>
    <col min="6666" max="6666" width="15.5" style="108" customWidth="1"/>
    <col min="6667" max="6667" width="15.75" style="108" customWidth="1"/>
    <col min="6668" max="6668" width="19.25" style="108" customWidth="1"/>
    <col min="6669" max="6680" width="0" style="108" hidden="1" customWidth="1"/>
    <col min="6681" max="6681" width="12.25" style="108" customWidth="1"/>
    <col min="6682" max="6682" width="14.25" style="108" customWidth="1"/>
    <col min="6683" max="6683" width="12.25" style="108" customWidth="1"/>
    <col min="6684" max="6684" width="9.5" style="108" customWidth="1"/>
    <col min="6685" max="6685" width="1" style="108" customWidth="1"/>
    <col min="6686" max="6693" width="3.75" style="108" customWidth="1"/>
    <col min="6694" max="6694" width="4.75" style="108" bestFit="1" customWidth="1"/>
    <col min="6695" max="6739" width="3.75" style="108" customWidth="1"/>
    <col min="6740" max="6740" width="13.75" style="108" customWidth="1"/>
    <col min="6741" max="6741" width="10.75" style="108" customWidth="1"/>
    <col min="6742" max="6912" width="9.25" style="108"/>
    <col min="6913" max="6913" width="4.75" style="108" customWidth="1"/>
    <col min="6914" max="6914" width="40.25" style="108" customWidth="1"/>
    <col min="6915" max="6915" width="21.25" style="108" customWidth="1"/>
    <col min="6916" max="6916" width="11.75" style="108" customWidth="1"/>
    <col min="6917" max="6917" width="13.25" style="108" customWidth="1"/>
    <col min="6918" max="6918" width="9.75" style="108" customWidth="1"/>
    <col min="6919" max="6919" width="10.25" style="108" customWidth="1"/>
    <col min="6920" max="6920" width="17.75" style="108" customWidth="1"/>
    <col min="6921" max="6921" width="14.75" style="108" customWidth="1"/>
    <col min="6922" max="6922" width="15.5" style="108" customWidth="1"/>
    <col min="6923" max="6923" width="15.75" style="108" customWidth="1"/>
    <col min="6924" max="6924" width="19.25" style="108" customWidth="1"/>
    <col min="6925" max="6936" width="0" style="108" hidden="1" customWidth="1"/>
    <col min="6937" max="6937" width="12.25" style="108" customWidth="1"/>
    <col min="6938" max="6938" width="14.25" style="108" customWidth="1"/>
    <col min="6939" max="6939" width="12.25" style="108" customWidth="1"/>
    <col min="6940" max="6940" width="9.5" style="108" customWidth="1"/>
    <col min="6941" max="6941" width="1" style="108" customWidth="1"/>
    <col min="6942" max="6949" width="3.75" style="108" customWidth="1"/>
    <col min="6950" max="6950" width="4.75" style="108" bestFit="1" customWidth="1"/>
    <col min="6951" max="6995" width="3.75" style="108" customWidth="1"/>
    <col min="6996" max="6996" width="13.75" style="108" customWidth="1"/>
    <col min="6997" max="6997" width="10.75" style="108" customWidth="1"/>
    <col min="6998" max="7168" width="9.25" style="108"/>
    <col min="7169" max="7169" width="4.75" style="108" customWidth="1"/>
    <col min="7170" max="7170" width="40.25" style="108" customWidth="1"/>
    <col min="7171" max="7171" width="21.25" style="108" customWidth="1"/>
    <col min="7172" max="7172" width="11.75" style="108" customWidth="1"/>
    <col min="7173" max="7173" width="13.25" style="108" customWidth="1"/>
    <col min="7174" max="7174" width="9.75" style="108" customWidth="1"/>
    <col min="7175" max="7175" width="10.25" style="108" customWidth="1"/>
    <col min="7176" max="7176" width="17.75" style="108" customWidth="1"/>
    <col min="7177" max="7177" width="14.75" style="108" customWidth="1"/>
    <col min="7178" max="7178" width="15.5" style="108" customWidth="1"/>
    <col min="7179" max="7179" width="15.75" style="108" customWidth="1"/>
    <col min="7180" max="7180" width="19.25" style="108" customWidth="1"/>
    <col min="7181" max="7192" width="0" style="108" hidden="1" customWidth="1"/>
    <col min="7193" max="7193" width="12.25" style="108" customWidth="1"/>
    <col min="7194" max="7194" width="14.25" style="108" customWidth="1"/>
    <col min="7195" max="7195" width="12.25" style="108" customWidth="1"/>
    <col min="7196" max="7196" width="9.5" style="108" customWidth="1"/>
    <col min="7197" max="7197" width="1" style="108" customWidth="1"/>
    <col min="7198" max="7205" width="3.75" style="108" customWidth="1"/>
    <col min="7206" max="7206" width="4.75" style="108" bestFit="1" customWidth="1"/>
    <col min="7207" max="7251" width="3.75" style="108" customWidth="1"/>
    <col min="7252" max="7252" width="13.75" style="108" customWidth="1"/>
    <col min="7253" max="7253" width="10.75" style="108" customWidth="1"/>
    <col min="7254" max="7424" width="9.25" style="108"/>
    <col min="7425" max="7425" width="4.75" style="108" customWidth="1"/>
    <col min="7426" max="7426" width="40.25" style="108" customWidth="1"/>
    <col min="7427" max="7427" width="21.25" style="108" customWidth="1"/>
    <col min="7428" max="7428" width="11.75" style="108" customWidth="1"/>
    <col min="7429" max="7429" width="13.25" style="108" customWidth="1"/>
    <col min="7430" max="7430" width="9.75" style="108" customWidth="1"/>
    <col min="7431" max="7431" width="10.25" style="108" customWidth="1"/>
    <col min="7432" max="7432" width="17.75" style="108" customWidth="1"/>
    <col min="7433" max="7433" width="14.75" style="108" customWidth="1"/>
    <col min="7434" max="7434" width="15.5" style="108" customWidth="1"/>
    <col min="7435" max="7435" width="15.75" style="108" customWidth="1"/>
    <col min="7436" max="7436" width="19.25" style="108" customWidth="1"/>
    <col min="7437" max="7448" width="0" style="108" hidden="1" customWidth="1"/>
    <col min="7449" max="7449" width="12.25" style="108" customWidth="1"/>
    <col min="7450" max="7450" width="14.25" style="108" customWidth="1"/>
    <col min="7451" max="7451" width="12.25" style="108" customWidth="1"/>
    <col min="7452" max="7452" width="9.5" style="108" customWidth="1"/>
    <col min="7453" max="7453" width="1" style="108" customWidth="1"/>
    <col min="7454" max="7461" width="3.75" style="108" customWidth="1"/>
    <col min="7462" max="7462" width="4.75" style="108" bestFit="1" customWidth="1"/>
    <col min="7463" max="7507" width="3.75" style="108" customWidth="1"/>
    <col min="7508" max="7508" width="13.75" style="108" customWidth="1"/>
    <col min="7509" max="7509" width="10.75" style="108" customWidth="1"/>
    <col min="7510" max="7680" width="9.25" style="108"/>
    <col min="7681" max="7681" width="4.75" style="108" customWidth="1"/>
    <col min="7682" max="7682" width="40.25" style="108" customWidth="1"/>
    <col min="7683" max="7683" width="21.25" style="108" customWidth="1"/>
    <col min="7684" max="7684" width="11.75" style="108" customWidth="1"/>
    <col min="7685" max="7685" width="13.25" style="108" customWidth="1"/>
    <col min="7686" max="7686" width="9.75" style="108" customWidth="1"/>
    <col min="7687" max="7687" width="10.25" style="108" customWidth="1"/>
    <col min="7688" max="7688" width="17.75" style="108" customWidth="1"/>
    <col min="7689" max="7689" width="14.75" style="108" customWidth="1"/>
    <col min="7690" max="7690" width="15.5" style="108" customWidth="1"/>
    <col min="7691" max="7691" width="15.75" style="108" customWidth="1"/>
    <col min="7692" max="7692" width="19.25" style="108" customWidth="1"/>
    <col min="7693" max="7704" width="0" style="108" hidden="1" customWidth="1"/>
    <col min="7705" max="7705" width="12.25" style="108" customWidth="1"/>
    <col min="7706" max="7706" width="14.25" style="108" customWidth="1"/>
    <col min="7707" max="7707" width="12.25" style="108" customWidth="1"/>
    <col min="7708" max="7708" width="9.5" style="108" customWidth="1"/>
    <col min="7709" max="7709" width="1" style="108" customWidth="1"/>
    <col min="7710" max="7717" width="3.75" style="108" customWidth="1"/>
    <col min="7718" max="7718" width="4.75" style="108" bestFit="1" customWidth="1"/>
    <col min="7719" max="7763" width="3.75" style="108" customWidth="1"/>
    <col min="7764" max="7764" width="13.75" style="108" customWidth="1"/>
    <col min="7765" max="7765" width="10.75" style="108" customWidth="1"/>
    <col min="7766" max="7936" width="9.25" style="108"/>
    <col min="7937" max="7937" width="4.75" style="108" customWidth="1"/>
    <col min="7938" max="7938" width="40.25" style="108" customWidth="1"/>
    <col min="7939" max="7939" width="21.25" style="108" customWidth="1"/>
    <col min="7940" max="7940" width="11.75" style="108" customWidth="1"/>
    <col min="7941" max="7941" width="13.25" style="108" customWidth="1"/>
    <col min="7942" max="7942" width="9.75" style="108" customWidth="1"/>
    <col min="7943" max="7943" width="10.25" style="108" customWidth="1"/>
    <col min="7944" max="7944" width="17.75" style="108" customWidth="1"/>
    <col min="7945" max="7945" width="14.75" style="108" customWidth="1"/>
    <col min="7946" max="7946" width="15.5" style="108" customWidth="1"/>
    <col min="7947" max="7947" width="15.75" style="108" customWidth="1"/>
    <col min="7948" max="7948" width="19.25" style="108" customWidth="1"/>
    <col min="7949" max="7960" width="0" style="108" hidden="1" customWidth="1"/>
    <col min="7961" max="7961" width="12.25" style="108" customWidth="1"/>
    <col min="7962" max="7962" width="14.25" style="108" customWidth="1"/>
    <col min="7963" max="7963" width="12.25" style="108" customWidth="1"/>
    <col min="7964" max="7964" width="9.5" style="108" customWidth="1"/>
    <col min="7965" max="7965" width="1" style="108" customWidth="1"/>
    <col min="7966" max="7973" width="3.75" style="108" customWidth="1"/>
    <col min="7974" max="7974" width="4.75" style="108" bestFit="1" customWidth="1"/>
    <col min="7975" max="8019" width="3.75" style="108" customWidth="1"/>
    <col min="8020" max="8020" width="13.75" style="108" customWidth="1"/>
    <col min="8021" max="8021" width="10.75" style="108" customWidth="1"/>
    <col min="8022" max="8192" width="9.25" style="108"/>
    <col min="8193" max="8193" width="4.75" style="108" customWidth="1"/>
    <col min="8194" max="8194" width="40.25" style="108" customWidth="1"/>
    <col min="8195" max="8195" width="21.25" style="108" customWidth="1"/>
    <col min="8196" max="8196" width="11.75" style="108" customWidth="1"/>
    <col min="8197" max="8197" width="13.25" style="108" customWidth="1"/>
    <col min="8198" max="8198" width="9.75" style="108" customWidth="1"/>
    <col min="8199" max="8199" width="10.25" style="108" customWidth="1"/>
    <col min="8200" max="8200" width="17.75" style="108" customWidth="1"/>
    <col min="8201" max="8201" width="14.75" style="108" customWidth="1"/>
    <col min="8202" max="8202" width="15.5" style="108" customWidth="1"/>
    <col min="8203" max="8203" width="15.75" style="108" customWidth="1"/>
    <col min="8204" max="8204" width="19.25" style="108" customWidth="1"/>
    <col min="8205" max="8216" width="0" style="108" hidden="1" customWidth="1"/>
    <col min="8217" max="8217" width="12.25" style="108" customWidth="1"/>
    <col min="8218" max="8218" width="14.25" style="108" customWidth="1"/>
    <col min="8219" max="8219" width="12.25" style="108" customWidth="1"/>
    <col min="8220" max="8220" width="9.5" style="108" customWidth="1"/>
    <col min="8221" max="8221" width="1" style="108" customWidth="1"/>
    <col min="8222" max="8229" width="3.75" style="108" customWidth="1"/>
    <col min="8230" max="8230" width="4.75" style="108" bestFit="1" customWidth="1"/>
    <col min="8231" max="8275" width="3.75" style="108" customWidth="1"/>
    <col min="8276" max="8276" width="13.75" style="108" customWidth="1"/>
    <col min="8277" max="8277" width="10.75" style="108" customWidth="1"/>
    <col min="8278" max="8448" width="9.25" style="108"/>
    <col min="8449" max="8449" width="4.75" style="108" customWidth="1"/>
    <col min="8450" max="8450" width="40.25" style="108" customWidth="1"/>
    <col min="8451" max="8451" width="21.25" style="108" customWidth="1"/>
    <col min="8452" max="8452" width="11.75" style="108" customWidth="1"/>
    <col min="8453" max="8453" width="13.25" style="108" customWidth="1"/>
    <col min="8454" max="8454" width="9.75" style="108" customWidth="1"/>
    <col min="8455" max="8455" width="10.25" style="108" customWidth="1"/>
    <col min="8456" max="8456" width="17.75" style="108" customWidth="1"/>
    <col min="8457" max="8457" width="14.75" style="108" customWidth="1"/>
    <col min="8458" max="8458" width="15.5" style="108" customWidth="1"/>
    <col min="8459" max="8459" width="15.75" style="108" customWidth="1"/>
    <col min="8460" max="8460" width="19.25" style="108" customWidth="1"/>
    <col min="8461" max="8472" width="0" style="108" hidden="1" customWidth="1"/>
    <col min="8473" max="8473" width="12.25" style="108" customWidth="1"/>
    <col min="8474" max="8474" width="14.25" style="108" customWidth="1"/>
    <col min="8475" max="8475" width="12.25" style="108" customWidth="1"/>
    <col min="8476" max="8476" width="9.5" style="108" customWidth="1"/>
    <col min="8477" max="8477" width="1" style="108" customWidth="1"/>
    <col min="8478" max="8485" width="3.75" style="108" customWidth="1"/>
    <col min="8486" max="8486" width="4.75" style="108" bestFit="1" customWidth="1"/>
    <col min="8487" max="8531" width="3.75" style="108" customWidth="1"/>
    <col min="8532" max="8532" width="13.75" style="108" customWidth="1"/>
    <col min="8533" max="8533" width="10.75" style="108" customWidth="1"/>
    <col min="8534" max="8704" width="9.25" style="108"/>
    <col min="8705" max="8705" width="4.75" style="108" customWidth="1"/>
    <col min="8706" max="8706" width="40.25" style="108" customWidth="1"/>
    <col min="8707" max="8707" width="21.25" style="108" customWidth="1"/>
    <col min="8708" max="8708" width="11.75" style="108" customWidth="1"/>
    <col min="8709" max="8709" width="13.25" style="108" customWidth="1"/>
    <col min="8710" max="8710" width="9.75" style="108" customWidth="1"/>
    <col min="8711" max="8711" width="10.25" style="108" customWidth="1"/>
    <col min="8712" max="8712" width="17.75" style="108" customWidth="1"/>
    <col min="8713" max="8713" width="14.75" style="108" customWidth="1"/>
    <col min="8714" max="8714" width="15.5" style="108" customWidth="1"/>
    <col min="8715" max="8715" width="15.75" style="108" customWidth="1"/>
    <col min="8716" max="8716" width="19.25" style="108" customWidth="1"/>
    <col min="8717" max="8728" width="0" style="108" hidden="1" customWidth="1"/>
    <col min="8729" max="8729" width="12.25" style="108" customWidth="1"/>
    <col min="8730" max="8730" width="14.25" style="108" customWidth="1"/>
    <col min="8731" max="8731" width="12.25" style="108" customWidth="1"/>
    <col min="8732" max="8732" width="9.5" style="108" customWidth="1"/>
    <col min="8733" max="8733" width="1" style="108" customWidth="1"/>
    <col min="8734" max="8741" width="3.75" style="108" customWidth="1"/>
    <col min="8742" max="8742" width="4.75" style="108" bestFit="1" customWidth="1"/>
    <col min="8743" max="8787" width="3.75" style="108" customWidth="1"/>
    <col min="8788" max="8788" width="13.75" style="108" customWidth="1"/>
    <col min="8789" max="8789" width="10.75" style="108" customWidth="1"/>
    <col min="8790" max="8960" width="9.25" style="108"/>
    <col min="8961" max="8961" width="4.75" style="108" customWidth="1"/>
    <col min="8962" max="8962" width="40.25" style="108" customWidth="1"/>
    <col min="8963" max="8963" width="21.25" style="108" customWidth="1"/>
    <col min="8964" max="8964" width="11.75" style="108" customWidth="1"/>
    <col min="8965" max="8965" width="13.25" style="108" customWidth="1"/>
    <col min="8966" max="8966" width="9.75" style="108" customWidth="1"/>
    <col min="8967" max="8967" width="10.25" style="108" customWidth="1"/>
    <col min="8968" max="8968" width="17.75" style="108" customWidth="1"/>
    <col min="8969" max="8969" width="14.75" style="108" customWidth="1"/>
    <col min="8970" max="8970" width="15.5" style="108" customWidth="1"/>
    <col min="8971" max="8971" width="15.75" style="108" customWidth="1"/>
    <col min="8972" max="8972" width="19.25" style="108" customWidth="1"/>
    <col min="8973" max="8984" width="0" style="108" hidden="1" customWidth="1"/>
    <col min="8985" max="8985" width="12.25" style="108" customWidth="1"/>
    <col min="8986" max="8986" width="14.25" style="108" customWidth="1"/>
    <col min="8987" max="8987" width="12.25" style="108" customWidth="1"/>
    <col min="8988" max="8988" width="9.5" style="108" customWidth="1"/>
    <col min="8989" max="8989" width="1" style="108" customWidth="1"/>
    <col min="8990" max="8997" width="3.75" style="108" customWidth="1"/>
    <col min="8998" max="8998" width="4.75" style="108" bestFit="1" customWidth="1"/>
    <col min="8999" max="9043" width="3.75" style="108" customWidth="1"/>
    <col min="9044" max="9044" width="13.75" style="108" customWidth="1"/>
    <col min="9045" max="9045" width="10.75" style="108" customWidth="1"/>
    <col min="9046" max="9216" width="9.25" style="108"/>
    <col min="9217" max="9217" width="4.75" style="108" customWidth="1"/>
    <col min="9218" max="9218" width="40.25" style="108" customWidth="1"/>
    <col min="9219" max="9219" width="21.25" style="108" customWidth="1"/>
    <col min="9220" max="9220" width="11.75" style="108" customWidth="1"/>
    <col min="9221" max="9221" width="13.25" style="108" customWidth="1"/>
    <col min="9222" max="9222" width="9.75" style="108" customWidth="1"/>
    <col min="9223" max="9223" width="10.25" style="108" customWidth="1"/>
    <col min="9224" max="9224" width="17.75" style="108" customWidth="1"/>
    <col min="9225" max="9225" width="14.75" style="108" customWidth="1"/>
    <col min="9226" max="9226" width="15.5" style="108" customWidth="1"/>
    <col min="9227" max="9227" width="15.75" style="108" customWidth="1"/>
    <col min="9228" max="9228" width="19.25" style="108" customWidth="1"/>
    <col min="9229" max="9240" width="0" style="108" hidden="1" customWidth="1"/>
    <col min="9241" max="9241" width="12.25" style="108" customWidth="1"/>
    <col min="9242" max="9242" width="14.25" style="108" customWidth="1"/>
    <col min="9243" max="9243" width="12.25" style="108" customWidth="1"/>
    <col min="9244" max="9244" width="9.5" style="108" customWidth="1"/>
    <col min="9245" max="9245" width="1" style="108" customWidth="1"/>
    <col min="9246" max="9253" width="3.75" style="108" customWidth="1"/>
    <col min="9254" max="9254" width="4.75" style="108" bestFit="1" customWidth="1"/>
    <col min="9255" max="9299" width="3.75" style="108" customWidth="1"/>
    <col min="9300" max="9300" width="13.75" style="108" customWidth="1"/>
    <col min="9301" max="9301" width="10.75" style="108" customWidth="1"/>
    <col min="9302" max="9472" width="9.25" style="108"/>
    <col min="9473" max="9473" width="4.75" style="108" customWidth="1"/>
    <col min="9474" max="9474" width="40.25" style="108" customWidth="1"/>
    <col min="9475" max="9475" width="21.25" style="108" customWidth="1"/>
    <col min="9476" max="9476" width="11.75" style="108" customWidth="1"/>
    <col min="9477" max="9477" width="13.25" style="108" customWidth="1"/>
    <col min="9478" max="9478" width="9.75" style="108" customWidth="1"/>
    <col min="9479" max="9479" width="10.25" style="108" customWidth="1"/>
    <col min="9480" max="9480" width="17.75" style="108" customWidth="1"/>
    <col min="9481" max="9481" width="14.75" style="108" customWidth="1"/>
    <col min="9482" max="9482" width="15.5" style="108" customWidth="1"/>
    <col min="9483" max="9483" width="15.75" style="108" customWidth="1"/>
    <col min="9484" max="9484" width="19.25" style="108" customWidth="1"/>
    <col min="9485" max="9496" width="0" style="108" hidden="1" customWidth="1"/>
    <col min="9497" max="9497" width="12.25" style="108" customWidth="1"/>
    <col min="9498" max="9498" width="14.25" style="108" customWidth="1"/>
    <col min="9499" max="9499" width="12.25" style="108" customWidth="1"/>
    <col min="9500" max="9500" width="9.5" style="108" customWidth="1"/>
    <col min="9501" max="9501" width="1" style="108" customWidth="1"/>
    <col min="9502" max="9509" width="3.75" style="108" customWidth="1"/>
    <col min="9510" max="9510" width="4.75" style="108" bestFit="1" customWidth="1"/>
    <col min="9511" max="9555" width="3.75" style="108" customWidth="1"/>
    <col min="9556" max="9556" width="13.75" style="108" customWidth="1"/>
    <col min="9557" max="9557" width="10.75" style="108" customWidth="1"/>
    <col min="9558" max="9728" width="9.25" style="108"/>
    <col min="9729" max="9729" width="4.75" style="108" customWidth="1"/>
    <col min="9730" max="9730" width="40.25" style="108" customWidth="1"/>
    <col min="9731" max="9731" width="21.25" style="108" customWidth="1"/>
    <col min="9732" max="9732" width="11.75" style="108" customWidth="1"/>
    <col min="9733" max="9733" width="13.25" style="108" customWidth="1"/>
    <col min="9734" max="9734" width="9.75" style="108" customWidth="1"/>
    <col min="9735" max="9735" width="10.25" style="108" customWidth="1"/>
    <col min="9736" max="9736" width="17.75" style="108" customWidth="1"/>
    <col min="9737" max="9737" width="14.75" style="108" customWidth="1"/>
    <col min="9738" max="9738" width="15.5" style="108" customWidth="1"/>
    <col min="9739" max="9739" width="15.75" style="108" customWidth="1"/>
    <col min="9740" max="9740" width="19.25" style="108" customWidth="1"/>
    <col min="9741" max="9752" width="0" style="108" hidden="1" customWidth="1"/>
    <col min="9753" max="9753" width="12.25" style="108" customWidth="1"/>
    <col min="9754" max="9754" width="14.25" style="108" customWidth="1"/>
    <col min="9755" max="9755" width="12.25" style="108" customWidth="1"/>
    <col min="9756" max="9756" width="9.5" style="108" customWidth="1"/>
    <col min="9757" max="9757" width="1" style="108" customWidth="1"/>
    <col min="9758" max="9765" width="3.75" style="108" customWidth="1"/>
    <col min="9766" max="9766" width="4.75" style="108" bestFit="1" customWidth="1"/>
    <col min="9767" max="9811" width="3.75" style="108" customWidth="1"/>
    <col min="9812" max="9812" width="13.75" style="108" customWidth="1"/>
    <col min="9813" max="9813" width="10.75" style="108" customWidth="1"/>
    <col min="9814" max="9984" width="9.25" style="108"/>
    <col min="9985" max="9985" width="4.75" style="108" customWidth="1"/>
    <col min="9986" max="9986" width="40.25" style="108" customWidth="1"/>
    <col min="9987" max="9987" width="21.25" style="108" customWidth="1"/>
    <col min="9988" max="9988" width="11.75" style="108" customWidth="1"/>
    <col min="9989" max="9989" width="13.25" style="108" customWidth="1"/>
    <col min="9990" max="9990" width="9.75" style="108" customWidth="1"/>
    <col min="9991" max="9991" width="10.25" style="108" customWidth="1"/>
    <col min="9992" max="9992" width="17.75" style="108" customWidth="1"/>
    <col min="9993" max="9993" width="14.75" style="108" customWidth="1"/>
    <col min="9994" max="9994" width="15.5" style="108" customWidth="1"/>
    <col min="9995" max="9995" width="15.75" style="108" customWidth="1"/>
    <col min="9996" max="9996" width="19.25" style="108" customWidth="1"/>
    <col min="9997" max="10008" width="0" style="108" hidden="1" customWidth="1"/>
    <col min="10009" max="10009" width="12.25" style="108" customWidth="1"/>
    <col min="10010" max="10010" width="14.25" style="108" customWidth="1"/>
    <col min="10011" max="10011" width="12.25" style="108" customWidth="1"/>
    <col min="10012" max="10012" width="9.5" style="108" customWidth="1"/>
    <col min="10013" max="10013" width="1" style="108" customWidth="1"/>
    <col min="10014" max="10021" width="3.75" style="108" customWidth="1"/>
    <col min="10022" max="10022" width="4.75" style="108" bestFit="1" customWidth="1"/>
    <col min="10023" max="10067" width="3.75" style="108" customWidth="1"/>
    <col min="10068" max="10068" width="13.75" style="108" customWidth="1"/>
    <col min="10069" max="10069" width="10.75" style="108" customWidth="1"/>
    <col min="10070" max="10240" width="9.25" style="108"/>
    <col min="10241" max="10241" width="4.75" style="108" customWidth="1"/>
    <col min="10242" max="10242" width="40.25" style="108" customWidth="1"/>
    <col min="10243" max="10243" width="21.25" style="108" customWidth="1"/>
    <col min="10244" max="10244" width="11.75" style="108" customWidth="1"/>
    <col min="10245" max="10245" width="13.25" style="108" customWidth="1"/>
    <col min="10246" max="10246" width="9.75" style="108" customWidth="1"/>
    <col min="10247" max="10247" width="10.25" style="108" customWidth="1"/>
    <col min="10248" max="10248" width="17.75" style="108" customWidth="1"/>
    <col min="10249" max="10249" width="14.75" style="108" customWidth="1"/>
    <col min="10250" max="10250" width="15.5" style="108" customWidth="1"/>
    <col min="10251" max="10251" width="15.75" style="108" customWidth="1"/>
    <col min="10252" max="10252" width="19.25" style="108" customWidth="1"/>
    <col min="10253" max="10264" width="0" style="108" hidden="1" customWidth="1"/>
    <col min="10265" max="10265" width="12.25" style="108" customWidth="1"/>
    <col min="10266" max="10266" width="14.25" style="108" customWidth="1"/>
    <col min="10267" max="10267" width="12.25" style="108" customWidth="1"/>
    <col min="10268" max="10268" width="9.5" style="108" customWidth="1"/>
    <col min="10269" max="10269" width="1" style="108" customWidth="1"/>
    <col min="10270" max="10277" width="3.75" style="108" customWidth="1"/>
    <col min="10278" max="10278" width="4.75" style="108" bestFit="1" customWidth="1"/>
    <col min="10279" max="10323" width="3.75" style="108" customWidth="1"/>
    <col min="10324" max="10324" width="13.75" style="108" customWidth="1"/>
    <col min="10325" max="10325" width="10.75" style="108" customWidth="1"/>
    <col min="10326" max="10496" width="9.25" style="108"/>
    <col min="10497" max="10497" width="4.75" style="108" customWidth="1"/>
    <col min="10498" max="10498" width="40.25" style="108" customWidth="1"/>
    <col min="10499" max="10499" width="21.25" style="108" customWidth="1"/>
    <col min="10500" max="10500" width="11.75" style="108" customWidth="1"/>
    <col min="10501" max="10501" width="13.25" style="108" customWidth="1"/>
    <col min="10502" max="10502" width="9.75" style="108" customWidth="1"/>
    <col min="10503" max="10503" width="10.25" style="108" customWidth="1"/>
    <col min="10504" max="10504" width="17.75" style="108" customWidth="1"/>
    <col min="10505" max="10505" width="14.75" style="108" customWidth="1"/>
    <col min="10506" max="10506" width="15.5" style="108" customWidth="1"/>
    <col min="10507" max="10507" width="15.75" style="108" customWidth="1"/>
    <col min="10508" max="10508" width="19.25" style="108" customWidth="1"/>
    <col min="10509" max="10520" width="0" style="108" hidden="1" customWidth="1"/>
    <col min="10521" max="10521" width="12.25" style="108" customWidth="1"/>
    <col min="10522" max="10522" width="14.25" style="108" customWidth="1"/>
    <col min="10523" max="10523" width="12.25" style="108" customWidth="1"/>
    <col min="10524" max="10524" width="9.5" style="108" customWidth="1"/>
    <col min="10525" max="10525" width="1" style="108" customWidth="1"/>
    <col min="10526" max="10533" width="3.75" style="108" customWidth="1"/>
    <col min="10534" max="10534" width="4.75" style="108" bestFit="1" customWidth="1"/>
    <col min="10535" max="10579" width="3.75" style="108" customWidth="1"/>
    <col min="10580" max="10580" width="13.75" style="108" customWidth="1"/>
    <col min="10581" max="10581" width="10.75" style="108" customWidth="1"/>
    <col min="10582" max="10752" width="9.25" style="108"/>
    <col min="10753" max="10753" width="4.75" style="108" customWidth="1"/>
    <col min="10754" max="10754" width="40.25" style="108" customWidth="1"/>
    <col min="10755" max="10755" width="21.25" style="108" customWidth="1"/>
    <col min="10756" max="10756" width="11.75" style="108" customWidth="1"/>
    <col min="10757" max="10757" width="13.25" style="108" customWidth="1"/>
    <col min="10758" max="10758" width="9.75" style="108" customWidth="1"/>
    <col min="10759" max="10759" width="10.25" style="108" customWidth="1"/>
    <col min="10760" max="10760" width="17.75" style="108" customWidth="1"/>
    <col min="10761" max="10761" width="14.75" style="108" customWidth="1"/>
    <col min="10762" max="10762" width="15.5" style="108" customWidth="1"/>
    <col min="10763" max="10763" width="15.75" style="108" customWidth="1"/>
    <col min="10764" max="10764" width="19.25" style="108" customWidth="1"/>
    <col min="10765" max="10776" width="0" style="108" hidden="1" customWidth="1"/>
    <col min="10777" max="10777" width="12.25" style="108" customWidth="1"/>
    <col min="10778" max="10778" width="14.25" style="108" customWidth="1"/>
    <col min="10779" max="10779" width="12.25" style="108" customWidth="1"/>
    <col min="10780" max="10780" width="9.5" style="108" customWidth="1"/>
    <col min="10781" max="10781" width="1" style="108" customWidth="1"/>
    <col min="10782" max="10789" width="3.75" style="108" customWidth="1"/>
    <col min="10790" max="10790" width="4.75" style="108" bestFit="1" customWidth="1"/>
    <col min="10791" max="10835" width="3.75" style="108" customWidth="1"/>
    <col min="10836" max="10836" width="13.75" style="108" customWidth="1"/>
    <col min="10837" max="10837" width="10.75" style="108" customWidth="1"/>
    <col min="10838" max="11008" width="9.25" style="108"/>
    <col min="11009" max="11009" width="4.75" style="108" customWidth="1"/>
    <col min="11010" max="11010" width="40.25" style="108" customWidth="1"/>
    <col min="11011" max="11011" width="21.25" style="108" customWidth="1"/>
    <col min="11012" max="11012" width="11.75" style="108" customWidth="1"/>
    <col min="11013" max="11013" width="13.25" style="108" customWidth="1"/>
    <col min="11014" max="11014" width="9.75" style="108" customWidth="1"/>
    <col min="11015" max="11015" width="10.25" style="108" customWidth="1"/>
    <col min="11016" max="11016" width="17.75" style="108" customWidth="1"/>
    <col min="11017" max="11017" width="14.75" style="108" customWidth="1"/>
    <col min="11018" max="11018" width="15.5" style="108" customWidth="1"/>
    <col min="11019" max="11019" width="15.75" style="108" customWidth="1"/>
    <col min="11020" max="11020" width="19.25" style="108" customWidth="1"/>
    <col min="11021" max="11032" width="0" style="108" hidden="1" customWidth="1"/>
    <col min="11033" max="11033" width="12.25" style="108" customWidth="1"/>
    <col min="11034" max="11034" width="14.25" style="108" customWidth="1"/>
    <col min="11035" max="11035" width="12.25" style="108" customWidth="1"/>
    <col min="11036" max="11036" width="9.5" style="108" customWidth="1"/>
    <col min="11037" max="11037" width="1" style="108" customWidth="1"/>
    <col min="11038" max="11045" width="3.75" style="108" customWidth="1"/>
    <col min="11046" max="11046" width="4.75" style="108" bestFit="1" customWidth="1"/>
    <col min="11047" max="11091" width="3.75" style="108" customWidth="1"/>
    <col min="11092" max="11092" width="13.75" style="108" customWidth="1"/>
    <col min="11093" max="11093" width="10.75" style="108" customWidth="1"/>
    <col min="11094" max="11264" width="9.25" style="108"/>
    <col min="11265" max="11265" width="4.75" style="108" customWidth="1"/>
    <col min="11266" max="11266" width="40.25" style="108" customWidth="1"/>
    <col min="11267" max="11267" width="21.25" style="108" customWidth="1"/>
    <col min="11268" max="11268" width="11.75" style="108" customWidth="1"/>
    <col min="11269" max="11269" width="13.25" style="108" customWidth="1"/>
    <col min="11270" max="11270" width="9.75" style="108" customWidth="1"/>
    <col min="11271" max="11271" width="10.25" style="108" customWidth="1"/>
    <col min="11272" max="11272" width="17.75" style="108" customWidth="1"/>
    <col min="11273" max="11273" width="14.75" style="108" customWidth="1"/>
    <col min="11274" max="11274" width="15.5" style="108" customWidth="1"/>
    <col min="11275" max="11275" width="15.75" style="108" customWidth="1"/>
    <col min="11276" max="11276" width="19.25" style="108" customWidth="1"/>
    <col min="11277" max="11288" width="0" style="108" hidden="1" customWidth="1"/>
    <col min="11289" max="11289" width="12.25" style="108" customWidth="1"/>
    <col min="11290" max="11290" width="14.25" style="108" customWidth="1"/>
    <col min="11291" max="11291" width="12.25" style="108" customWidth="1"/>
    <col min="11292" max="11292" width="9.5" style="108" customWidth="1"/>
    <col min="11293" max="11293" width="1" style="108" customWidth="1"/>
    <col min="11294" max="11301" width="3.75" style="108" customWidth="1"/>
    <col min="11302" max="11302" width="4.75" style="108" bestFit="1" customWidth="1"/>
    <col min="11303" max="11347" width="3.75" style="108" customWidth="1"/>
    <col min="11348" max="11348" width="13.75" style="108" customWidth="1"/>
    <col min="11349" max="11349" width="10.75" style="108" customWidth="1"/>
    <col min="11350" max="11520" width="9.25" style="108"/>
    <col min="11521" max="11521" width="4.75" style="108" customWidth="1"/>
    <col min="11522" max="11522" width="40.25" style="108" customWidth="1"/>
    <col min="11523" max="11523" width="21.25" style="108" customWidth="1"/>
    <col min="11524" max="11524" width="11.75" style="108" customWidth="1"/>
    <col min="11525" max="11525" width="13.25" style="108" customWidth="1"/>
    <col min="11526" max="11526" width="9.75" style="108" customWidth="1"/>
    <col min="11527" max="11527" width="10.25" style="108" customWidth="1"/>
    <col min="11528" max="11528" width="17.75" style="108" customWidth="1"/>
    <col min="11529" max="11529" width="14.75" style="108" customWidth="1"/>
    <col min="11530" max="11530" width="15.5" style="108" customWidth="1"/>
    <col min="11531" max="11531" width="15.75" style="108" customWidth="1"/>
    <col min="11532" max="11532" width="19.25" style="108" customWidth="1"/>
    <col min="11533" max="11544" width="0" style="108" hidden="1" customWidth="1"/>
    <col min="11545" max="11545" width="12.25" style="108" customWidth="1"/>
    <col min="11546" max="11546" width="14.25" style="108" customWidth="1"/>
    <col min="11547" max="11547" width="12.25" style="108" customWidth="1"/>
    <col min="11548" max="11548" width="9.5" style="108" customWidth="1"/>
    <col min="11549" max="11549" width="1" style="108" customWidth="1"/>
    <col min="11550" max="11557" width="3.75" style="108" customWidth="1"/>
    <col min="11558" max="11558" width="4.75" style="108" bestFit="1" customWidth="1"/>
    <col min="11559" max="11603" width="3.75" style="108" customWidth="1"/>
    <col min="11604" max="11604" width="13.75" style="108" customWidth="1"/>
    <col min="11605" max="11605" width="10.75" style="108" customWidth="1"/>
    <col min="11606" max="11776" width="9.25" style="108"/>
    <col min="11777" max="11777" width="4.75" style="108" customWidth="1"/>
    <col min="11778" max="11778" width="40.25" style="108" customWidth="1"/>
    <col min="11779" max="11779" width="21.25" style="108" customWidth="1"/>
    <col min="11780" max="11780" width="11.75" style="108" customWidth="1"/>
    <col min="11781" max="11781" width="13.25" style="108" customWidth="1"/>
    <col min="11782" max="11782" width="9.75" style="108" customWidth="1"/>
    <col min="11783" max="11783" width="10.25" style="108" customWidth="1"/>
    <col min="11784" max="11784" width="17.75" style="108" customWidth="1"/>
    <col min="11785" max="11785" width="14.75" style="108" customWidth="1"/>
    <col min="11786" max="11786" width="15.5" style="108" customWidth="1"/>
    <col min="11787" max="11787" width="15.75" style="108" customWidth="1"/>
    <col min="11788" max="11788" width="19.25" style="108" customWidth="1"/>
    <col min="11789" max="11800" width="0" style="108" hidden="1" customWidth="1"/>
    <col min="11801" max="11801" width="12.25" style="108" customWidth="1"/>
    <col min="11802" max="11802" width="14.25" style="108" customWidth="1"/>
    <col min="11803" max="11803" width="12.25" style="108" customWidth="1"/>
    <col min="11804" max="11804" width="9.5" style="108" customWidth="1"/>
    <col min="11805" max="11805" width="1" style="108" customWidth="1"/>
    <col min="11806" max="11813" width="3.75" style="108" customWidth="1"/>
    <col min="11814" max="11814" width="4.75" style="108" bestFit="1" customWidth="1"/>
    <col min="11815" max="11859" width="3.75" style="108" customWidth="1"/>
    <col min="11860" max="11860" width="13.75" style="108" customWidth="1"/>
    <col min="11861" max="11861" width="10.75" style="108" customWidth="1"/>
    <col min="11862" max="12032" width="9.25" style="108"/>
    <col min="12033" max="12033" width="4.75" style="108" customWidth="1"/>
    <col min="12034" max="12034" width="40.25" style="108" customWidth="1"/>
    <col min="12035" max="12035" width="21.25" style="108" customWidth="1"/>
    <col min="12036" max="12036" width="11.75" style="108" customWidth="1"/>
    <col min="12037" max="12037" width="13.25" style="108" customWidth="1"/>
    <col min="12038" max="12038" width="9.75" style="108" customWidth="1"/>
    <col min="12039" max="12039" width="10.25" style="108" customWidth="1"/>
    <col min="12040" max="12040" width="17.75" style="108" customWidth="1"/>
    <col min="12041" max="12041" width="14.75" style="108" customWidth="1"/>
    <col min="12042" max="12042" width="15.5" style="108" customWidth="1"/>
    <col min="12043" max="12043" width="15.75" style="108" customWidth="1"/>
    <col min="12044" max="12044" width="19.25" style="108" customWidth="1"/>
    <col min="12045" max="12056" width="0" style="108" hidden="1" customWidth="1"/>
    <col min="12057" max="12057" width="12.25" style="108" customWidth="1"/>
    <col min="12058" max="12058" width="14.25" style="108" customWidth="1"/>
    <col min="12059" max="12059" width="12.25" style="108" customWidth="1"/>
    <col min="12060" max="12060" width="9.5" style="108" customWidth="1"/>
    <col min="12061" max="12061" width="1" style="108" customWidth="1"/>
    <col min="12062" max="12069" width="3.75" style="108" customWidth="1"/>
    <col min="12070" max="12070" width="4.75" style="108" bestFit="1" customWidth="1"/>
    <col min="12071" max="12115" width="3.75" style="108" customWidth="1"/>
    <col min="12116" max="12116" width="13.75" style="108" customWidth="1"/>
    <col min="12117" max="12117" width="10.75" style="108" customWidth="1"/>
    <col min="12118" max="12288" width="9.25" style="108"/>
    <col min="12289" max="12289" width="4.75" style="108" customWidth="1"/>
    <col min="12290" max="12290" width="40.25" style="108" customWidth="1"/>
    <col min="12291" max="12291" width="21.25" style="108" customWidth="1"/>
    <col min="12292" max="12292" width="11.75" style="108" customWidth="1"/>
    <col min="12293" max="12293" width="13.25" style="108" customWidth="1"/>
    <col min="12294" max="12294" width="9.75" style="108" customWidth="1"/>
    <col min="12295" max="12295" width="10.25" style="108" customWidth="1"/>
    <col min="12296" max="12296" width="17.75" style="108" customWidth="1"/>
    <col min="12297" max="12297" width="14.75" style="108" customWidth="1"/>
    <col min="12298" max="12298" width="15.5" style="108" customWidth="1"/>
    <col min="12299" max="12299" width="15.75" style="108" customWidth="1"/>
    <col min="12300" max="12300" width="19.25" style="108" customWidth="1"/>
    <col min="12301" max="12312" width="0" style="108" hidden="1" customWidth="1"/>
    <col min="12313" max="12313" width="12.25" style="108" customWidth="1"/>
    <col min="12314" max="12314" width="14.25" style="108" customWidth="1"/>
    <col min="12315" max="12315" width="12.25" style="108" customWidth="1"/>
    <col min="12316" max="12316" width="9.5" style="108" customWidth="1"/>
    <col min="12317" max="12317" width="1" style="108" customWidth="1"/>
    <col min="12318" max="12325" width="3.75" style="108" customWidth="1"/>
    <col min="12326" max="12326" width="4.75" style="108" bestFit="1" customWidth="1"/>
    <col min="12327" max="12371" width="3.75" style="108" customWidth="1"/>
    <col min="12372" max="12372" width="13.75" style="108" customWidth="1"/>
    <col min="12373" max="12373" width="10.75" style="108" customWidth="1"/>
    <col min="12374" max="12544" width="9.25" style="108"/>
    <col min="12545" max="12545" width="4.75" style="108" customWidth="1"/>
    <col min="12546" max="12546" width="40.25" style="108" customWidth="1"/>
    <col min="12547" max="12547" width="21.25" style="108" customWidth="1"/>
    <col min="12548" max="12548" width="11.75" style="108" customWidth="1"/>
    <col min="12549" max="12549" width="13.25" style="108" customWidth="1"/>
    <col min="12550" max="12550" width="9.75" style="108" customWidth="1"/>
    <col min="12551" max="12551" width="10.25" style="108" customWidth="1"/>
    <col min="12552" max="12552" width="17.75" style="108" customWidth="1"/>
    <col min="12553" max="12553" width="14.75" style="108" customWidth="1"/>
    <col min="12554" max="12554" width="15.5" style="108" customWidth="1"/>
    <col min="12555" max="12555" width="15.75" style="108" customWidth="1"/>
    <col min="12556" max="12556" width="19.25" style="108" customWidth="1"/>
    <col min="12557" max="12568" width="0" style="108" hidden="1" customWidth="1"/>
    <col min="12569" max="12569" width="12.25" style="108" customWidth="1"/>
    <col min="12570" max="12570" width="14.25" style="108" customWidth="1"/>
    <col min="12571" max="12571" width="12.25" style="108" customWidth="1"/>
    <col min="12572" max="12572" width="9.5" style="108" customWidth="1"/>
    <col min="12573" max="12573" width="1" style="108" customWidth="1"/>
    <col min="12574" max="12581" width="3.75" style="108" customWidth="1"/>
    <col min="12582" max="12582" width="4.75" style="108" bestFit="1" customWidth="1"/>
    <col min="12583" max="12627" width="3.75" style="108" customWidth="1"/>
    <col min="12628" max="12628" width="13.75" style="108" customWidth="1"/>
    <col min="12629" max="12629" width="10.75" style="108" customWidth="1"/>
    <col min="12630" max="12800" width="9.25" style="108"/>
    <col min="12801" max="12801" width="4.75" style="108" customWidth="1"/>
    <col min="12802" max="12802" width="40.25" style="108" customWidth="1"/>
    <col min="12803" max="12803" width="21.25" style="108" customWidth="1"/>
    <col min="12804" max="12804" width="11.75" style="108" customWidth="1"/>
    <col min="12805" max="12805" width="13.25" style="108" customWidth="1"/>
    <col min="12806" max="12806" width="9.75" style="108" customWidth="1"/>
    <col min="12807" max="12807" width="10.25" style="108" customWidth="1"/>
    <col min="12808" max="12808" width="17.75" style="108" customWidth="1"/>
    <col min="12809" max="12809" width="14.75" style="108" customWidth="1"/>
    <col min="12810" max="12810" width="15.5" style="108" customWidth="1"/>
    <col min="12811" max="12811" width="15.75" style="108" customWidth="1"/>
    <col min="12812" max="12812" width="19.25" style="108" customWidth="1"/>
    <col min="12813" max="12824" width="0" style="108" hidden="1" customWidth="1"/>
    <col min="12825" max="12825" width="12.25" style="108" customWidth="1"/>
    <col min="12826" max="12826" width="14.25" style="108" customWidth="1"/>
    <col min="12827" max="12827" width="12.25" style="108" customWidth="1"/>
    <col min="12828" max="12828" width="9.5" style="108" customWidth="1"/>
    <col min="12829" max="12829" width="1" style="108" customWidth="1"/>
    <col min="12830" max="12837" width="3.75" style="108" customWidth="1"/>
    <col min="12838" max="12838" width="4.75" style="108" bestFit="1" customWidth="1"/>
    <col min="12839" max="12883" width="3.75" style="108" customWidth="1"/>
    <col min="12884" max="12884" width="13.75" style="108" customWidth="1"/>
    <col min="12885" max="12885" width="10.75" style="108" customWidth="1"/>
    <col min="12886" max="13056" width="9.25" style="108"/>
    <col min="13057" max="13057" width="4.75" style="108" customWidth="1"/>
    <col min="13058" max="13058" width="40.25" style="108" customWidth="1"/>
    <col min="13059" max="13059" width="21.25" style="108" customWidth="1"/>
    <col min="13060" max="13060" width="11.75" style="108" customWidth="1"/>
    <col min="13061" max="13061" width="13.25" style="108" customWidth="1"/>
    <col min="13062" max="13062" width="9.75" style="108" customWidth="1"/>
    <col min="13063" max="13063" width="10.25" style="108" customWidth="1"/>
    <col min="13064" max="13064" width="17.75" style="108" customWidth="1"/>
    <col min="13065" max="13065" width="14.75" style="108" customWidth="1"/>
    <col min="13066" max="13066" width="15.5" style="108" customWidth="1"/>
    <col min="13067" max="13067" width="15.75" style="108" customWidth="1"/>
    <col min="13068" max="13068" width="19.25" style="108" customWidth="1"/>
    <col min="13069" max="13080" width="0" style="108" hidden="1" customWidth="1"/>
    <col min="13081" max="13081" width="12.25" style="108" customWidth="1"/>
    <col min="13082" max="13082" width="14.25" style="108" customWidth="1"/>
    <col min="13083" max="13083" width="12.25" style="108" customWidth="1"/>
    <col min="13084" max="13084" width="9.5" style="108" customWidth="1"/>
    <col min="13085" max="13085" width="1" style="108" customWidth="1"/>
    <col min="13086" max="13093" width="3.75" style="108" customWidth="1"/>
    <col min="13094" max="13094" width="4.75" style="108" bestFit="1" customWidth="1"/>
    <col min="13095" max="13139" width="3.75" style="108" customWidth="1"/>
    <col min="13140" max="13140" width="13.75" style="108" customWidth="1"/>
    <col min="13141" max="13141" width="10.75" style="108" customWidth="1"/>
    <col min="13142" max="13312" width="9.25" style="108"/>
    <col min="13313" max="13313" width="4.75" style="108" customWidth="1"/>
    <col min="13314" max="13314" width="40.25" style="108" customWidth="1"/>
    <col min="13315" max="13315" width="21.25" style="108" customWidth="1"/>
    <col min="13316" max="13316" width="11.75" style="108" customWidth="1"/>
    <col min="13317" max="13317" width="13.25" style="108" customWidth="1"/>
    <col min="13318" max="13318" width="9.75" style="108" customWidth="1"/>
    <col min="13319" max="13319" width="10.25" style="108" customWidth="1"/>
    <col min="13320" max="13320" width="17.75" style="108" customWidth="1"/>
    <col min="13321" max="13321" width="14.75" style="108" customWidth="1"/>
    <col min="13322" max="13322" width="15.5" style="108" customWidth="1"/>
    <col min="13323" max="13323" width="15.75" style="108" customWidth="1"/>
    <col min="13324" max="13324" width="19.25" style="108" customWidth="1"/>
    <col min="13325" max="13336" width="0" style="108" hidden="1" customWidth="1"/>
    <col min="13337" max="13337" width="12.25" style="108" customWidth="1"/>
    <col min="13338" max="13338" width="14.25" style="108" customWidth="1"/>
    <col min="13339" max="13339" width="12.25" style="108" customWidth="1"/>
    <col min="13340" max="13340" width="9.5" style="108" customWidth="1"/>
    <col min="13341" max="13341" width="1" style="108" customWidth="1"/>
    <col min="13342" max="13349" width="3.75" style="108" customWidth="1"/>
    <col min="13350" max="13350" width="4.75" style="108" bestFit="1" customWidth="1"/>
    <col min="13351" max="13395" width="3.75" style="108" customWidth="1"/>
    <col min="13396" max="13396" width="13.75" style="108" customWidth="1"/>
    <col min="13397" max="13397" width="10.75" style="108" customWidth="1"/>
    <col min="13398" max="13568" width="9.25" style="108"/>
    <col min="13569" max="13569" width="4.75" style="108" customWidth="1"/>
    <col min="13570" max="13570" width="40.25" style="108" customWidth="1"/>
    <col min="13571" max="13571" width="21.25" style="108" customWidth="1"/>
    <col min="13572" max="13572" width="11.75" style="108" customWidth="1"/>
    <col min="13573" max="13573" width="13.25" style="108" customWidth="1"/>
    <col min="13574" max="13574" width="9.75" style="108" customWidth="1"/>
    <col min="13575" max="13575" width="10.25" style="108" customWidth="1"/>
    <col min="13576" max="13576" width="17.75" style="108" customWidth="1"/>
    <col min="13577" max="13577" width="14.75" style="108" customWidth="1"/>
    <col min="13578" max="13578" width="15.5" style="108" customWidth="1"/>
    <col min="13579" max="13579" width="15.75" style="108" customWidth="1"/>
    <col min="13580" max="13580" width="19.25" style="108" customWidth="1"/>
    <col min="13581" max="13592" width="0" style="108" hidden="1" customWidth="1"/>
    <col min="13593" max="13593" width="12.25" style="108" customWidth="1"/>
    <col min="13594" max="13594" width="14.25" style="108" customWidth="1"/>
    <col min="13595" max="13595" width="12.25" style="108" customWidth="1"/>
    <col min="13596" max="13596" width="9.5" style="108" customWidth="1"/>
    <col min="13597" max="13597" width="1" style="108" customWidth="1"/>
    <col min="13598" max="13605" width="3.75" style="108" customWidth="1"/>
    <col min="13606" max="13606" width="4.75" style="108" bestFit="1" customWidth="1"/>
    <col min="13607" max="13651" width="3.75" style="108" customWidth="1"/>
    <col min="13652" max="13652" width="13.75" style="108" customWidth="1"/>
    <col min="13653" max="13653" width="10.75" style="108" customWidth="1"/>
    <col min="13654" max="13824" width="9.25" style="108"/>
    <col min="13825" max="13825" width="4.75" style="108" customWidth="1"/>
    <col min="13826" max="13826" width="40.25" style="108" customWidth="1"/>
    <col min="13827" max="13827" width="21.25" style="108" customWidth="1"/>
    <col min="13828" max="13828" width="11.75" style="108" customWidth="1"/>
    <col min="13829" max="13829" width="13.25" style="108" customWidth="1"/>
    <col min="13830" max="13830" width="9.75" style="108" customWidth="1"/>
    <col min="13831" max="13831" width="10.25" style="108" customWidth="1"/>
    <col min="13832" max="13832" width="17.75" style="108" customWidth="1"/>
    <col min="13833" max="13833" width="14.75" style="108" customWidth="1"/>
    <col min="13834" max="13834" width="15.5" style="108" customWidth="1"/>
    <col min="13835" max="13835" width="15.75" style="108" customWidth="1"/>
    <col min="13836" max="13836" width="19.25" style="108" customWidth="1"/>
    <col min="13837" max="13848" width="0" style="108" hidden="1" customWidth="1"/>
    <col min="13849" max="13849" width="12.25" style="108" customWidth="1"/>
    <col min="13850" max="13850" width="14.25" style="108" customWidth="1"/>
    <col min="13851" max="13851" width="12.25" style="108" customWidth="1"/>
    <col min="13852" max="13852" width="9.5" style="108" customWidth="1"/>
    <col min="13853" max="13853" width="1" style="108" customWidth="1"/>
    <col min="13854" max="13861" width="3.75" style="108" customWidth="1"/>
    <col min="13862" max="13862" width="4.75" style="108" bestFit="1" customWidth="1"/>
    <col min="13863" max="13907" width="3.75" style="108" customWidth="1"/>
    <col min="13908" max="13908" width="13.75" style="108" customWidth="1"/>
    <col min="13909" max="13909" width="10.75" style="108" customWidth="1"/>
    <col min="13910" max="14080" width="9.25" style="108"/>
    <col min="14081" max="14081" width="4.75" style="108" customWidth="1"/>
    <col min="14082" max="14082" width="40.25" style="108" customWidth="1"/>
    <col min="14083" max="14083" width="21.25" style="108" customWidth="1"/>
    <col min="14084" max="14084" width="11.75" style="108" customWidth="1"/>
    <col min="14085" max="14085" width="13.25" style="108" customWidth="1"/>
    <col min="14086" max="14086" width="9.75" style="108" customWidth="1"/>
    <col min="14087" max="14087" width="10.25" style="108" customWidth="1"/>
    <col min="14088" max="14088" width="17.75" style="108" customWidth="1"/>
    <col min="14089" max="14089" width="14.75" style="108" customWidth="1"/>
    <col min="14090" max="14090" width="15.5" style="108" customWidth="1"/>
    <col min="14091" max="14091" width="15.75" style="108" customWidth="1"/>
    <col min="14092" max="14092" width="19.25" style="108" customWidth="1"/>
    <col min="14093" max="14104" width="0" style="108" hidden="1" customWidth="1"/>
    <col min="14105" max="14105" width="12.25" style="108" customWidth="1"/>
    <col min="14106" max="14106" width="14.25" style="108" customWidth="1"/>
    <col min="14107" max="14107" width="12.25" style="108" customWidth="1"/>
    <col min="14108" max="14108" width="9.5" style="108" customWidth="1"/>
    <col min="14109" max="14109" width="1" style="108" customWidth="1"/>
    <col min="14110" max="14117" width="3.75" style="108" customWidth="1"/>
    <col min="14118" max="14118" width="4.75" style="108" bestFit="1" customWidth="1"/>
    <col min="14119" max="14163" width="3.75" style="108" customWidth="1"/>
    <col min="14164" max="14164" width="13.75" style="108" customWidth="1"/>
    <col min="14165" max="14165" width="10.75" style="108" customWidth="1"/>
    <col min="14166" max="14336" width="9.25" style="108"/>
    <col min="14337" max="14337" width="4.75" style="108" customWidth="1"/>
    <col min="14338" max="14338" width="40.25" style="108" customWidth="1"/>
    <col min="14339" max="14339" width="21.25" style="108" customWidth="1"/>
    <col min="14340" max="14340" width="11.75" style="108" customWidth="1"/>
    <col min="14341" max="14341" width="13.25" style="108" customWidth="1"/>
    <col min="14342" max="14342" width="9.75" style="108" customWidth="1"/>
    <col min="14343" max="14343" width="10.25" style="108" customWidth="1"/>
    <col min="14344" max="14344" width="17.75" style="108" customWidth="1"/>
    <col min="14345" max="14345" width="14.75" style="108" customWidth="1"/>
    <col min="14346" max="14346" width="15.5" style="108" customWidth="1"/>
    <col min="14347" max="14347" width="15.75" style="108" customWidth="1"/>
    <col min="14348" max="14348" width="19.25" style="108" customWidth="1"/>
    <col min="14349" max="14360" width="0" style="108" hidden="1" customWidth="1"/>
    <col min="14361" max="14361" width="12.25" style="108" customWidth="1"/>
    <col min="14362" max="14362" width="14.25" style="108" customWidth="1"/>
    <col min="14363" max="14363" width="12.25" style="108" customWidth="1"/>
    <col min="14364" max="14364" width="9.5" style="108" customWidth="1"/>
    <col min="14365" max="14365" width="1" style="108" customWidth="1"/>
    <col min="14366" max="14373" width="3.75" style="108" customWidth="1"/>
    <col min="14374" max="14374" width="4.75" style="108" bestFit="1" customWidth="1"/>
    <col min="14375" max="14419" width="3.75" style="108" customWidth="1"/>
    <col min="14420" max="14420" width="13.75" style="108" customWidth="1"/>
    <col min="14421" max="14421" width="10.75" style="108" customWidth="1"/>
    <col min="14422" max="14592" width="9.25" style="108"/>
    <col min="14593" max="14593" width="4.75" style="108" customWidth="1"/>
    <col min="14594" max="14594" width="40.25" style="108" customWidth="1"/>
    <col min="14595" max="14595" width="21.25" style="108" customWidth="1"/>
    <col min="14596" max="14596" width="11.75" style="108" customWidth="1"/>
    <col min="14597" max="14597" width="13.25" style="108" customWidth="1"/>
    <col min="14598" max="14598" width="9.75" style="108" customWidth="1"/>
    <col min="14599" max="14599" width="10.25" style="108" customWidth="1"/>
    <col min="14600" max="14600" width="17.75" style="108" customWidth="1"/>
    <col min="14601" max="14601" width="14.75" style="108" customWidth="1"/>
    <col min="14602" max="14602" width="15.5" style="108" customWidth="1"/>
    <col min="14603" max="14603" width="15.75" style="108" customWidth="1"/>
    <col min="14604" max="14604" width="19.25" style="108" customWidth="1"/>
    <col min="14605" max="14616" width="0" style="108" hidden="1" customWidth="1"/>
    <col min="14617" max="14617" width="12.25" style="108" customWidth="1"/>
    <col min="14618" max="14618" width="14.25" style="108" customWidth="1"/>
    <col min="14619" max="14619" width="12.25" style="108" customWidth="1"/>
    <col min="14620" max="14620" width="9.5" style="108" customWidth="1"/>
    <col min="14621" max="14621" width="1" style="108" customWidth="1"/>
    <col min="14622" max="14629" width="3.75" style="108" customWidth="1"/>
    <col min="14630" max="14630" width="4.75" style="108" bestFit="1" customWidth="1"/>
    <col min="14631" max="14675" width="3.75" style="108" customWidth="1"/>
    <col min="14676" max="14676" width="13.75" style="108" customWidth="1"/>
    <col min="14677" max="14677" width="10.75" style="108" customWidth="1"/>
    <col min="14678" max="14848" width="9.25" style="108"/>
    <col min="14849" max="14849" width="4.75" style="108" customWidth="1"/>
    <col min="14850" max="14850" width="40.25" style="108" customWidth="1"/>
    <col min="14851" max="14851" width="21.25" style="108" customWidth="1"/>
    <col min="14852" max="14852" width="11.75" style="108" customWidth="1"/>
    <col min="14853" max="14853" width="13.25" style="108" customWidth="1"/>
    <col min="14854" max="14854" width="9.75" style="108" customWidth="1"/>
    <col min="14855" max="14855" width="10.25" style="108" customWidth="1"/>
    <col min="14856" max="14856" width="17.75" style="108" customWidth="1"/>
    <col min="14857" max="14857" width="14.75" style="108" customWidth="1"/>
    <col min="14858" max="14858" width="15.5" style="108" customWidth="1"/>
    <col min="14859" max="14859" width="15.75" style="108" customWidth="1"/>
    <col min="14860" max="14860" width="19.25" style="108" customWidth="1"/>
    <col min="14861" max="14872" width="0" style="108" hidden="1" customWidth="1"/>
    <col min="14873" max="14873" width="12.25" style="108" customWidth="1"/>
    <col min="14874" max="14874" width="14.25" style="108" customWidth="1"/>
    <col min="14875" max="14875" width="12.25" style="108" customWidth="1"/>
    <col min="14876" max="14876" width="9.5" style="108" customWidth="1"/>
    <col min="14877" max="14877" width="1" style="108" customWidth="1"/>
    <col min="14878" max="14885" width="3.75" style="108" customWidth="1"/>
    <col min="14886" max="14886" width="4.75" style="108" bestFit="1" customWidth="1"/>
    <col min="14887" max="14931" width="3.75" style="108" customWidth="1"/>
    <col min="14932" max="14932" width="13.75" style="108" customWidth="1"/>
    <col min="14933" max="14933" width="10.75" style="108" customWidth="1"/>
    <col min="14934" max="15104" width="9.25" style="108"/>
    <col min="15105" max="15105" width="4.75" style="108" customWidth="1"/>
    <col min="15106" max="15106" width="40.25" style="108" customWidth="1"/>
    <col min="15107" max="15107" width="21.25" style="108" customWidth="1"/>
    <col min="15108" max="15108" width="11.75" style="108" customWidth="1"/>
    <col min="15109" max="15109" width="13.25" style="108" customWidth="1"/>
    <col min="15110" max="15110" width="9.75" style="108" customWidth="1"/>
    <col min="15111" max="15111" width="10.25" style="108" customWidth="1"/>
    <col min="15112" max="15112" width="17.75" style="108" customWidth="1"/>
    <col min="15113" max="15113" width="14.75" style="108" customWidth="1"/>
    <col min="15114" max="15114" width="15.5" style="108" customWidth="1"/>
    <col min="15115" max="15115" width="15.75" style="108" customWidth="1"/>
    <col min="15116" max="15116" width="19.25" style="108" customWidth="1"/>
    <col min="15117" max="15128" width="0" style="108" hidden="1" customWidth="1"/>
    <col min="15129" max="15129" width="12.25" style="108" customWidth="1"/>
    <col min="15130" max="15130" width="14.25" style="108" customWidth="1"/>
    <col min="15131" max="15131" width="12.25" style="108" customWidth="1"/>
    <col min="15132" max="15132" width="9.5" style="108" customWidth="1"/>
    <col min="15133" max="15133" width="1" style="108" customWidth="1"/>
    <col min="15134" max="15141" width="3.75" style="108" customWidth="1"/>
    <col min="15142" max="15142" width="4.75" style="108" bestFit="1" customWidth="1"/>
    <col min="15143" max="15187" width="3.75" style="108" customWidth="1"/>
    <col min="15188" max="15188" width="13.75" style="108" customWidth="1"/>
    <col min="15189" max="15189" width="10.75" style="108" customWidth="1"/>
    <col min="15190" max="15360" width="9.25" style="108"/>
    <col min="15361" max="15361" width="4.75" style="108" customWidth="1"/>
    <col min="15362" max="15362" width="40.25" style="108" customWidth="1"/>
    <col min="15363" max="15363" width="21.25" style="108" customWidth="1"/>
    <col min="15364" max="15364" width="11.75" style="108" customWidth="1"/>
    <col min="15365" max="15365" width="13.25" style="108" customWidth="1"/>
    <col min="15366" max="15366" width="9.75" style="108" customWidth="1"/>
    <col min="15367" max="15367" width="10.25" style="108" customWidth="1"/>
    <col min="15368" max="15368" width="17.75" style="108" customWidth="1"/>
    <col min="15369" max="15369" width="14.75" style="108" customWidth="1"/>
    <col min="15370" max="15370" width="15.5" style="108" customWidth="1"/>
    <col min="15371" max="15371" width="15.75" style="108" customWidth="1"/>
    <col min="15372" max="15372" width="19.25" style="108" customWidth="1"/>
    <col min="15373" max="15384" width="0" style="108" hidden="1" customWidth="1"/>
    <col min="15385" max="15385" width="12.25" style="108" customWidth="1"/>
    <col min="15386" max="15386" width="14.25" style="108" customWidth="1"/>
    <col min="15387" max="15387" width="12.25" style="108" customWidth="1"/>
    <col min="15388" max="15388" width="9.5" style="108" customWidth="1"/>
    <col min="15389" max="15389" width="1" style="108" customWidth="1"/>
    <col min="15390" max="15397" width="3.75" style="108" customWidth="1"/>
    <col min="15398" max="15398" width="4.75" style="108" bestFit="1" customWidth="1"/>
    <col min="15399" max="15443" width="3.75" style="108" customWidth="1"/>
    <col min="15444" max="15444" width="13.75" style="108" customWidth="1"/>
    <col min="15445" max="15445" width="10.75" style="108" customWidth="1"/>
    <col min="15446" max="15616" width="9.25" style="108"/>
    <col min="15617" max="15617" width="4.75" style="108" customWidth="1"/>
    <col min="15618" max="15618" width="40.25" style="108" customWidth="1"/>
    <col min="15619" max="15619" width="21.25" style="108" customWidth="1"/>
    <col min="15620" max="15620" width="11.75" style="108" customWidth="1"/>
    <col min="15621" max="15621" width="13.25" style="108" customWidth="1"/>
    <col min="15622" max="15622" width="9.75" style="108" customWidth="1"/>
    <col min="15623" max="15623" width="10.25" style="108" customWidth="1"/>
    <col min="15624" max="15624" width="17.75" style="108" customWidth="1"/>
    <col min="15625" max="15625" width="14.75" style="108" customWidth="1"/>
    <col min="15626" max="15626" width="15.5" style="108" customWidth="1"/>
    <col min="15627" max="15627" width="15.75" style="108" customWidth="1"/>
    <col min="15628" max="15628" width="19.25" style="108" customWidth="1"/>
    <col min="15629" max="15640" width="0" style="108" hidden="1" customWidth="1"/>
    <col min="15641" max="15641" width="12.25" style="108" customWidth="1"/>
    <col min="15642" max="15642" width="14.25" style="108" customWidth="1"/>
    <col min="15643" max="15643" width="12.25" style="108" customWidth="1"/>
    <col min="15644" max="15644" width="9.5" style="108" customWidth="1"/>
    <col min="15645" max="15645" width="1" style="108" customWidth="1"/>
    <col min="15646" max="15653" width="3.75" style="108" customWidth="1"/>
    <col min="15654" max="15654" width="4.75" style="108" bestFit="1" customWidth="1"/>
    <col min="15655" max="15699" width="3.75" style="108" customWidth="1"/>
    <col min="15700" max="15700" width="13.75" style="108" customWidth="1"/>
    <col min="15701" max="15701" width="10.75" style="108" customWidth="1"/>
    <col min="15702" max="15872" width="9.25" style="108"/>
    <col min="15873" max="15873" width="4.75" style="108" customWidth="1"/>
    <col min="15874" max="15874" width="40.25" style="108" customWidth="1"/>
    <col min="15875" max="15875" width="21.25" style="108" customWidth="1"/>
    <col min="15876" max="15876" width="11.75" style="108" customWidth="1"/>
    <col min="15877" max="15877" width="13.25" style="108" customWidth="1"/>
    <col min="15878" max="15878" width="9.75" style="108" customWidth="1"/>
    <col min="15879" max="15879" width="10.25" style="108" customWidth="1"/>
    <col min="15880" max="15880" width="17.75" style="108" customWidth="1"/>
    <col min="15881" max="15881" width="14.75" style="108" customWidth="1"/>
    <col min="15882" max="15882" width="15.5" style="108" customWidth="1"/>
    <col min="15883" max="15883" width="15.75" style="108" customWidth="1"/>
    <col min="15884" max="15884" width="19.25" style="108" customWidth="1"/>
    <col min="15885" max="15896" width="0" style="108" hidden="1" customWidth="1"/>
    <col min="15897" max="15897" width="12.25" style="108" customWidth="1"/>
    <col min="15898" max="15898" width="14.25" style="108" customWidth="1"/>
    <col min="15899" max="15899" width="12.25" style="108" customWidth="1"/>
    <col min="15900" max="15900" width="9.5" style="108" customWidth="1"/>
    <col min="15901" max="15901" width="1" style="108" customWidth="1"/>
    <col min="15902" max="15909" width="3.75" style="108" customWidth="1"/>
    <col min="15910" max="15910" width="4.75" style="108" bestFit="1" customWidth="1"/>
    <col min="15911" max="15955" width="3.75" style="108" customWidth="1"/>
    <col min="15956" max="15956" width="13.75" style="108" customWidth="1"/>
    <col min="15957" max="15957" width="10.75" style="108" customWidth="1"/>
    <col min="15958" max="16128" width="9.25" style="108"/>
    <col min="16129" max="16129" width="4.75" style="108" customWidth="1"/>
    <col min="16130" max="16130" width="40.25" style="108" customWidth="1"/>
    <col min="16131" max="16131" width="21.25" style="108" customWidth="1"/>
    <col min="16132" max="16132" width="11.75" style="108" customWidth="1"/>
    <col min="16133" max="16133" width="13.25" style="108" customWidth="1"/>
    <col min="16134" max="16134" width="9.75" style="108" customWidth="1"/>
    <col min="16135" max="16135" width="10.25" style="108" customWidth="1"/>
    <col min="16136" max="16136" width="17.75" style="108" customWidth="1"/>
    <col min="16137" max="16137" width="14.75" style="108" customWidth="1"/>
    <col min="16138" max="16138" width="15.5" style="108" customWidth="1"/>
    <col min="16139" max="16139" width="15.75" style="108" customWidth="1"/>
    <col min="16140" max="16140" width="19.25" style="108" customWidth="1"/>
    <col min="16141" max="16152" width="0" style="108" hidden="1" customWidth="1"/>
    <col min="16153" max="16153" width="12.25" style="108" customWidth="1"/>
    <col min="16154" max="16154" width="14.25" style="108" customWidth="1"/>
    <col min="16155" max="16155" width="12.25" style="108" customWidth="1"/>
    <col min="16156" max="16156" width="9.5" style="108" customWidth="1"/>
    <col min="16157" max="16157" width="1" style="108" customWidth="1"/>
    <col min="16158" max="16165" width="3.75" style="108" customWidth="1"/>
    <col min="16166" max="16166" width="4.75" style="108" bestFit="1" customWidth="1"/>
    <col min="16167" max="16211" width="3.75" style="108" customWidth="1"/>
    <col min="16212" max="16212" width="13.75" style="108" customWidth="1"/>
    <col min="16213" max="16213" width="10.75" style="108" customWidth="1"/>
    <col min="16214" max="16384" width="9.25" style="108"/>
  </cols>
  <sheetData>
    <row r="1" spans="1:85" ht="18">
      <c r="A1" s="317" t="s">
        <v>116</v>
      </c>
      <c r="B1" s="317"/>
      <c r="C1" s="317"/>
      <c r="D1" s="318"/>
      <c r="E1" s="318"/>
      <c r="F1" s="318"/>
      <c r="G1" s="318"/>
      <c r="H1" s="318"/>
      <c r="I1" s="106" t="s">
        <v>117</v>
      </c>
      <c r="J1" s="107"/>
      <c r="K1" s="316" t="s">
        <v>118</v>
      </c>
      <c r="L1" s="316"/>
      <c r="Y1" s="109"/>
      <c r="Z1" s="110"/>
      <c r="AB1" s="111" t="s">
        <v>119</v>
      </c>
      <c r="AC1" s="111"/>
      <c r="AK1" s="112" t="s">
        <v>120</v>
      </c>
      <c r="AM1" s="111" t="s">
        <v>121</v>
      </c>
    </row>
    <row r="2" spans="1:85" ht="18">
      <c r="A2" s="317" t="s">
        <v>122</v>
      </c>
      <c r="B2" s="317"/>
      <c r="C2" s="317"/>
      <c r="D2" s="318" t="str">
        <f>Расчет!D1</f>
        <v>OZ87 Стол упаковки</v>
      </c>
      <c r="E2" s="318"/>
      <c r="F2" s="318"/>
      <c r="G2" s="318"/>
      <c r="H2" s="318"/>
      <c r="I2" s="113" t="s">
        <v>123</v>
      </c>
      <c r="J2" s="107"/>
      <c r="K2" s="319"/>
      <c r="L2" s="319"/>
      <c r="Y2" s="114"/>
      <c r="Z2" s="115"/>
      <c r="AB2" s="111" t="s">
        <v>124</v>
      </c>
      <c r="AC2" s="111"/>
    </row>
    <row r="3" spans="1:85" ht="20.25" customHeight="1">
      <c r="A3" s="322"/>
      <c r="B3" s="322"/>
      <c r="C3" s="322"/>
      <c r="D3" s="323" t="s">
        <v>125</v>
      </c>
      <c r="E3" s="323"/>
      <c r="F3" s="323"/>
      <c r="G3" s="324"/>
      <c r="H3" s="116"/>
      <c r="Y3" s="117"/>
      <c r="Z3" s="118"/>
      <c r="AB3" s="111" t="s">
        <v>126</v>
      </c>
      <c r="AC3" s="111"/>
    </row>
    <row r="4" spans="1:85" ht="0.75" customHeight="1"/>
    <row r="5" spans="1:85" ht="18">
      <c r="A5" s="299" t="s">
        <v>127</v>
      </c>
      <c r="B5" s="299"/>
      <c r="C5" s="299"/>
      <c r="D5" s="299"/>
      <c r="E5" s="299"/>
      <c r="F5" s="299"/>
      <c r="G5" s="299"/>
      <c r="H5" s="299"/>
      <c r="I5" s="299"/>
      <c r="J5" s="299"/>
      <c r="K5" s="299"/>
      <c r="L5" s="299"/>
      <c r="M5" s="299"/>
      <c r="N5" s="299"/>
      <c r="O5" s="299"/>
      <c r="P5" s="299"/>
      <c r="Q5" s="299"/>
      <c r="R5" s="299"/>
      <c r="S5" s="299"/>
      <c r="T5" s="299"/>
      <c r="U5" s="299"/>
      <c r="V5" s="299"/>
      <c r="W5" s="299"/>
      <c r="X5" s="299"/>
      <c r="Y5" s="299"/>
      <c r="Z5" s="299"/>
      <c r="AA5" s="299"/>
      <c r="AB5" s="119"/>
      <c r="AC5" s="119"/>
      <c r="AD5" s="119"/>
      <c r="AE5" s="299" t="s">
        <v>128</v>
      </c>
      <c r="AF5" s="299"/>
      <c r="AG5" s="299"/>
      <c r="AH5" s="299"/>
      <c r="AI5" s="299"/>
      <c r="AJ5" s="299"/>
      <c r="AK5" s="299"/>
      <c r="AL5" s="299"/>
      <c r="AM5" s="299"/>
      <c r="AN5" s="299"/>
      <c r="AO5" s="299"/>
      <c r="AP5" s="299"/>
      <c r="AQ5" s="299"/>
      <c r="AR5" s="299"/>
      <c r="AS5" s="299"/>
      <c r="AT5" s="299"/>
      <c r="AU5" s="299"/>
      <c r="AV5" s="299"/>
      <c r="AW5" s="299"/>
      <c r="AX5" s="299"/>
      <c r="AY5" s="299"/>
      <c r="AZ5" s="299"/>
      <c r="BA5" s="299"/>
      <c r="BB5" s="299"/>
      <c r="BC5" s="299"/>
      <c r="BD5" s="299"/>
      <c r="BE5" s="299"/>
      <c r="BF5" s="299"/>
      <c r="BG5" s="299"/>
      <c r="BH5" s="299"/>
      <c r="BI5" s="299"/>
      <c r="BJ5" s="299"/>
      <c r="BK5" s="299"/>
      <c r="BL5" s="299"/>
      <c r="BM5" s="299"/>
      <c r="BN5" s="299"/>
      <c r="BO5" s="299"/>
      <c r="BP5" s="299"/>
      <c r="BQ5" s="299"/>
      <c r="BR5" s="299"/>
      <c r="BS5" s="299"/>
      <c r="BT5" s="299"/>
      <c r="BU5" s="299"/>
      <c r="BV5" s="299"/>
      <c r="BW5" s="299"/>
      <c r="BX5" s="299"/>
      <c r="BY5" s="299"/>
      <c r="BZ5" s="299"/>
      <c r="CA5" s="299"/>
      <c r="CB5" s="299"/>
      <c r="CC5" s="299"/>
      <c r="CD5" s="299"/>
      <c r="CE5" s="299"/>
    </row>
    <row r="6" spans="1:85" ht="15" thickBot="1">
      <c r="A6" s="300"/>
      <c r="B6" s="300"/>
      <c r="C6" s="300"/>
      <c r="D6" s="300"/>
      <c r="E6" s="300"/>
      <c r="F6" s="300"/>
      <c r="G6" s="300"/>
      <c r="H6" s="300"/>
      <c r="I6" s="300"/>
      <c r="J6" s="300"/>
      <c r="K6" s="300"/>
      <c r="L6" s="300"/>
      <c r="M6" s="300"/>
      <c r="N6" s="300"/>
      <c r="O6" s="300"/>
      <c r="P6" s="300"/>
      <c r="Q6" s="300"/>
      <c r="R6" s="300"/>
      <c r="S6" s="300"/>
      <c r="T6" s="300"/>
      <c r="U6" s="300"/>
      <c r="V6" s="300"/>
      <c r="W6" s="300"/>
      <c r="X6" s="300"/>
      <c r="Y6" s="300"/>
      <c r="Z6" s="300"/>
      <c r="AA6" s="300"/>
      <c r="AB6" s="300"/>
      <c r="AC6" s="300"/>
      <c r="AD6" s="300"/>
      <c r="BA6" s="111" t="s">
        <v>129</v>
      </c>
      <c r="BB6" s="111"/>
    </row>
    <row r="7" spans="1:85">
      <c r="M7" s="120"/>
      <c r="N7" s="121"/>
      <c r="O7" s="121"/>
      <c r="P7" s="122"/>
      <c r="Q7" s="120"/>
      <c r="R7" s="121"/>
      <c r="S7" s="121"/>
      <c r="T7" s="122"/>
      <c r="U7" s="120"/>
      <c r="V7" s="121"/>
      <c r="W7" s="121"/>
      <c r="X7" s="122"/>
      <c r="Y7" s="120"/>
      <c r="Z7" s="121"/>
      <c r="AA7" s="121"/>
      <c r="AB7" s="122"/>
      <c r="AC7" s="123"/>
      <c r="AD7" s="124"/>
      <c r="AE7" s="124"/>
      <c r="AF7" s="124"/>
      <c r="AG7" s="124"/>
      <c r="AH7" s="124"/>
      <c r="AI7" s="124"/>
      <c r="AJ7" s="124"/>
      <c r="AK7" s="124"/>
      <c r="AL7" s="124"/>
      <c r="AM7" s="124"/>
      <c r="AN7" s="124"/>
      <c r="AO7" s="124"/>
      <c r="AP7" s="124"/>
      <c r="AQ7" s="124"/>
      <c r="AR7" s="124"/>
      <c r="AS7" s="124"/>
      <c r="AT7" s="124"/>
      <c r="AU7" s="124"/>
      <c r="AV7" s="124"/>
      <c r="AW7" s="124"/>
      <c r="AX7" s="124"/>
      <c r="AY7" s="124"/>
      <c r="AZ7" s="124"/>
      <c r="BA7" s="124"/>
      <c r="BB7" s="124"/>
      <c r="BC7" s="124"/>
      <c r="BD7" s="124"/>
      <c r="BE7" s="124"/>
      <c r="BF7" s="124"/>
      <c r="BG7" s="124"/>
      <c r="BH7" s="124"/>
      <c r="BI7" s="124"/>
      <c r="BJ7" s="124"/>
      <c r="BK7" s="124"/>
      <c r="BL7" s="124"/>
      <c r="BM7" s="124"/>
      <c r="BN7" s="124"/>
      <c r="BO7" s="124"/>
      <c r="BP7" s="124"/>
      <c r="BQ7" s="124"/>
      <c r="BR7" s="124"/>
      <c r="BS7" s="124"/>
      <c r="BT7" s="124"/>
      <c r="BU7" s="124"/>
      <c r="BV7" s="124"/>
      <c r="BW7" s="124"/>
      <c r="BX7" s="124"/>
      <c r="BY7" s="124"/>
      <c r="BZ7" s="124"/>
      <c r="CA7" s="124"/>
      <c r="CB7" s="124"/>
      <c r="CC7" s="124"/>
      <c r="CD7" s="124"/>
      <c r="CE7" s="125"/>
      <c r="CF7" s="126" t="s">
        <v>130</v>
      </c>
      <c r="CG7" s="127" t="s">
        <v>131</v>
      </c>
    </row>
    <row r="8" spans="1:85" ht="15" customHeight="1">
      <c r="A8" s="303" t="s">
        <v>132</v>
      </c>
      <c r="B8" s="303" t="s">
        <v>133</v>
      </c>
      <c r="C8" s="303" t="s">
        <v>134</v>
      </c>
      <c r="D8" s="320" t="s">
        <v>135</v>
      </c>
      <c r="E8" s="303" t="s">
        <v>136</v>
      </c>
      <c r="F8" s="303" t="s">
        <v>137</v>
      </c>
      <c r="G8" s="303" t="s">
        <v>138</v>
      </c>
      <c r="H8" s="305" t="s">
        <v>139</v>
      </c>
      <c r="I8" s="307" t="s">
        <v>140</v>
      </c>
      <c r="J8" s="307" t="s">
        <v>141</v>
      </c>
      <c r="K8" s="309" t="s">
        <v>142</v>
      </c>
      <c r="L8" s="311" t="s">
        <v>143</v>
      </c>
      <c r="M8" s="313" t="s">
        <v>144</v>
      </c>
      <c r="N8" s="314"/>
      <c r="O8" s="314"/>
      <c r="P8" s="315"/>
      <c r="Q8" s="313" t="s">
        <v>145</v>
      </c>
      <c r="R8" s="314"/>
      <c r="S8" s="314"/>
      <c r="T8" s="315"/>
      <c r="U8" s="313" t="s">
        <v>146</v>
      </c>
      <c r="V8" s="314"/>
      <c r="W8" s="314"/>
      <c r="X8" s="315"/>
      <c r="Y8" s="313" t="s">
        <v>147</v>
      </c>
      <c r="Z8" s="314"/>
      <c r="AA8" s="314"/>
      <c r="AB8" s="315"/>
      <c r="AC8" s="128"/>
      <c r="AD8" s="301" t="s">
        <v>148</v>
      </c>
      <c r="AE8" s="301"/>
      <c r="AF8" s="301"/>
      <c r="AG8" s="301"/>
      <c r="AH8" s="301"/>
      <c r="AI8" s="301"/>
      <c r="AJ8" s="301"/>
      <c r="AK8" s="301"/>
      <c r="AL8" s="301"/>
      <c r="AM8" s="301"/>
      <c r="AN8" s="301"/>
      <c r="AO8" s="301"/>
      <c r="AP8" s="301"/>
      <c r="AQ8" s="301"/>
      <c r="AR8" s="301"/>
      <c r="AS8" s="301"/>
      <c r="AT8" s="301"/>
      <c r="AU8" s="301"/>
      <c r="AV8" s="301"/>
      <c r="AW8" s="301"/>
      <c r="AX8" s="301"/>
      <c r="AY8" s="301"/>
      <c r="AZ8" s="301"/>
      <c r="BA8" s="301"/>
      <c r="BB8" s="301"/>
      <c r="BC8" s="301"/>
      <c r="BD8" s="301"/>
      <c r="BE8" s="301"/>
      <c r="BF8" s="301"/>
      <c r="BG8" s="301"/>
      <c r="BH8" s="301"/>
      <c r="BI8" s="301"/>
      <c r="BJ8" s="301"/>
      <c r="BK8" s="301"/>
      <c r="BL8" s="301"/>
      <c r="BM8" s="301"/>
      <c r="BN8" s="301"/>
      <c r="BO8" s="301"/>
      <c r="BP8" s="301"/>
      <c r="BQ8" s="301"/>
      <c r="BR8" s="301"/>
      <c r="BS8" s="301"/>
      <c r="BT8" s="301"/>
      <c r="BU8" s="301"/>
      <c r="BV8" s="301"/>
      <c r="BW8" s="301"/>
      <c r="BX8" s="301"/>
      <c r="BY8" s="301"/>
      <c r="BZ8" s="301"/>
      <c r="CA8" s="301"/>
      <c r="CB8" s="301"/>
      <c r="CC8" s="301"/>
      <c r="CD8" s="301"/>
      <c r="CE8" s="302"/>
      <c r="CF8" s="129"/>
      <c r="CG8" s="130"/>
    </row>
    <row r="9" spans="1:85" ht="38.25" customHeight="1">
      <c r="A9" s="304"/>
      <c r="B9" s="304"/>
      <c r="C9" s="304"/>
      <c r="D9" s="321"/>
      <c r="E9" s="304"/>
      <c r="F9" s="304"/>
      <c r="G9" s="304"/>
      <c r="H9" s="306"/>
      <c r="I9" s="308"/>
      <c r="J9" s="308"/>
      <c r="K9" s="310"/>
      <c r="L9" s="312"/>
      <c r="M9" s="131" t="s">
        <v>149</v>
      </c>
      <c r="N9" s="132" t="s">
        <v>150</v>
      </c>
      <c r="O9" s="132" t="s">
        <v>151</v>
      </c>
      <c r="P9" s="133" t="s">
        <v>152</v>
      </c>
      <c r="Q9" s="131" t="s">
        <v>149</v>
      </c>
      <c r="R9" s="132" t="s">
        <v>150</v>
      </c>
      <c r="S9" s="132" t="s">
        <v>151</v>
      </c>
      <c r="T9" s="133" t="s">
        <v>152</v>
      </c>
      <c r="U9" s="131" t="s">
        <v>149</v>
      </c>
      <c r="V9" s="132" t="s">
        <v>150</v>
      </c>
      <c r="W9" s="132" t="s">
        <v>151</v>
      </c>
      <c r="X9" s="133" t="s">
        <v>152</v>
      </c>
      <c r="Y9" s="131" t="s">
        <v>149</v>
      </c>
      <c r="Z9" s="132" t="s">
        <v>150</v>
      </c>
      <c r="AA9" s="132" t="s">
        <v>151</v>
      </c>
      <c r="AB9" s="133" t="s">
        <v>152</v>
      </c>
      <c r="AC9" s="134"/>
      <c r="AD9" s="135">
        <v>41479</v>
      </c>
      <c r="AE9" s="136">
        <f>AD9+1</f>
        <v>41480</v>
      </c>
      <c r="AF9" s="136">
        <f>AE9+1</f>
        <v>41481</v>
      </c>
      <c r="AG9" s="136">
        <f t="shared" ref="AG9:CE9" si="0">AF9+1</f>
        <v>41482</v>
      </c>
      <c r="AH9" s="136">
        <f t="shared" si="0"/>
        <v>41483</v>
      </c>
      <c r="AI9" s="136">
        <f t="shared" si="0"/>
        <v>41484</v>
      </c>
      <c r="AJ9" s="136">
        <f t="shared" si="0"/>
        <v>41485</v>
      </c>
      <c r="AK9" s="136">
        <f t="shared" si="0"/>
        <v>41486</v>
      </c>
      <c r="AL9" s="136">
        <f t="shared" si="0"/>
        <v>41487</v>
      </c>
      <c r="AM9" s="136">
        <f t="shared" si="0"/>
        <v>41488</v>
      </c>
      <c r="AN9" s="136">
        <f t="shared" si="0"/>
        <v>41489</v>
      </c>
      <c r="AO9" s="136">
        <f t="shared" si="0"/>
        <v>41490</v>
      </c>
      <c r="AP9" s="136">
        <f t="shared" si="0"/>
        <v>41491</v>
      </c>
      <c r="AQ9" s="136">
        <f t="shared" si="0"/>
        <v>41492</v>
      </c>
      <c r="AR9" s="136">
        <f t="shared" si="0"/>
        <v>41493</v>
      </c>
      <c r="AS9" s="136">
        <f t="shared" si="0"/>
        <v>41494</v>
      </c>
      <c r="AT9" s="136">
        <f t="shared" si="0"/>
        <v>41495</v>
      </c>
      <c r="AU9" s="136">
        <f t="shared" si="0"/>
        <v>41496</v>
      </c>
      <c r="AV9" s="136">
        <f t="shared" si="0"/>
        <v>41497</v>
      </c>
      <c r="AW9" s="136">
        <f t="shared" si="0"/>
        <v>41498</v>
      </c>
      <c r="AX9" s="136">
        <f t="shared" si="0"/>
        <v>41499</v>
      </c>
      <c r="AY9" s="136">
        <f t="shared" si="0"/>
        <v>41500</v>
      </c>
      <c r="AZ9" s="136">
        <f t="shared" si="0"/>
        <v>41501</v>
      </c>
      <c r="BA9" s="136">
        <f t="shared" si="0"/>
        <v>41502</v>
      </c>
      <c r="BB9" s="136">
        <f t="shared" si="0"/>
        <v>41503</v>
      </c>
      <c r="BC9" s="136">
        <f t="shared" si="0"/>
        <v>41504</v>
      </c>
      <c r="BD9" s="136">
        <f t="shared" si="0"/>
        <v>41505</v>
      </c>
      <c r="BE9" s="136">
        <f t="shared" si="0"/>
        <v>41506</v>
      </c>
      <c r="BF9" s="136">
        <f t="shared" si="0"/>
        <v>41507</v>
      </c>
      <c r="BG9" s="136">
        <f t="shared" si="0"/>
        <v>41508</v>
      </c>
      <c r="BH9" s="136">
        <f t="shared" si="0"/>
        <v>41509</v>
      </c>
      <c r="BI9" s="136">
        <f t="shared" si="0"/>
        <v>41510</v>
      </c>
      <c r="BJ9" s="136">
        <f t="shared" si="0"/>
        <v>41511</v>
      </c>
      <c r="BK9" s="136">
        <f t="shared" si="0"/>
        <v>41512</v>
      </c>
      <c r="BL9" s="136">
        <f t="shared" si="0"/>
        <v>41513</v>
      </c>
      <c r="BM9" s="136">
        <f t="shared" si="0"/>
        <v>41514</v>
      </c>
      <c r="BN9" s="136">
        <f t="shared" si="0"/>
        <v>41515</v>
      </c>
      <c r="BO9" s="136">
        <f t="shared" si="0"/>
        <v>41516</v>
      </c>
      <c r="BP9" s="136">
        <f t="shared" si="0"/>
        <v>41517</v>
      </c>
      <c r="BQ9" s="136">
        <f t="shared" si="0"/>
        <v>41518</v>
      </c>
      <c r="BR9" s="136">
        <f t="shared" si="0"/>
        <v>41519</v>
      </c>
      <c r="BS9" s="136">
        <f t="shared" si="0"/>
        <v>41520</v>
      </c>
      <c r="BT9" s="136">
        <f t="shared" si="0"/>
        <v>41521</v>
      </c>
      <c r="BU9" s="136">
        <f t="shared" si="0"/>
        <v>41522</v>
      </c>
      <c r="BV9" s="136">
        <f t="shared" si="0"/>
        <v>41523</v>
      </c>
      <c r="BW9" s="136">
        <f t="shared" si="0"/>
        <v>41524</v>
      </c>
      <c r="BX9" s="136">
        <f t="shared" si="0"/>
        <v>41525</v>
      </c>
      <c r="BY9" s="136">
        <f t="shared" si="0"/>
        <v>41526</v>
      </c>
      <c r="BZ9" s="136">
        <f t="shared" si="0"/>
        <v>41527</v>
      </c>
      <c r="CA9" s="136">
        <f t="shared" si="0"/>
        <v>41528</v>
      </c>
      <c r="CB9" s="136">
        <f t="shared" si="0"/>
        <v>41529</v>
      </c>
      <c r="CC9" s="136">
        <f t="shared" si="0"/>
        <v>41530</v>
      </c>
      <c r="CD9" s="136">
        <f t="shared" si="0"/>
        <v>41531</v>
      </c>
      <c r="CE9" s="136">
        <f t="shared" si="0"/>
        <v>41532</v>
      </c>
      <c r="CF9" s="137" t="s">
        <v>153</v>
      </c>
      <c r="CG9" s="138"/>
    </row>
    <row r="10" spans="1:85" s="148" customFormat="1" ht="15" customHeight="1">
      <c r="A10" s="294" t="s">
        <v>83</v>
      </c>
      <c r="B10" s="295"/>
      <c r="C10" s="139"/>
      <c r="D10" s="139"/>
      <c r="E10" s="139"/>
      <c r="F10" s="296">
        <f>Расчет!D2</f>
        <v>1</v>
      </c>
      <c r="G10" s="139"/>
      <c r="H10" s="140"/>
      <c r="I10" s="140"/>
      <c r="J10" s="140"/>
      <c r="K10" s="141"/>
      <c r="L10" s="141"/>
      <c r="M10" s="142"/>
      <c r="N10" s="143"/>
      <c r="O10" s="143"/>
      <c r="P10" s="144"/>
      <c r="Q10" s="142"/>
      <c r="R10" s="143"/>
      <c r="S10" s="143"/>
      <c r="T10" s="144"/>
      <c r="U10" s="142"/>
      <c r="V10" s="143"/>
      <c r="W10" s="143"/>
      <c r="X10" s="144"/>
      <c r="Y10" s="142"/>
      <c r="Z10" s="143"/>
      <c r="AA10" s="143"/>
      <c r="AB10" s="144"/>
      <c r="AC10" s="143"/>
      <c r="AD10" s="145" t="str">
        <f>IF(OR(WEEKDAY(AD$9)=1,WEEKDAY(AD$9)=7),"В",IF(AD$9=$H$3,"О",""))</f>
        <v/>
      </c>
      <c r="AE10" s="145" t="str">
        <f t="shared" ref="AE10:CE10" si="1">IF(OR(WEEKDAY(AE$9)=1,WEEKDAY(AE$9)=7),"В",IF(AE$9=$H$3,"О",""))</f>
        <v/>
      </c>
      <c r="AF10" s="145" t="str">
        <f t="shared" si="1"/>
        <v/>
      </c>
      <c r="AG10" s="145" t="str">
        <f t="shared" si="1"/>
        <v>В</v>
      </c>
      <c r="AH10" s="145" t="str">
        <f t="shared" si="1"/>
        <v>В</v>
      </c>
      <c r="AI10" s="145" t="str">
        <f t="shared" si="1"/>
        <v/>
      </c>
      <c r="AJ10" s="145" t="str">
        <f t="shared" si="1"/>
        <v/>
      </c>
      <c r="AK10" s="145" t="str">
        <f t="shared" si="1"/>
        <v/>
      </c>
      <c r="AL10" s="145" t="str">
        <f t="shared" si="1"/>
        <v/>
      </c>
      <c r="AM10" s="145" t="str">
        <f t="shared" si="1"/>
        <v/>
      </c>
      <c r="AN10" s="145" t="str">
        <f t="shared" si="1"/>
        <v>В</v>
      </c>
      <c r="AO10" s="145" t="str">
        <f t="shared" si="1"/>
        <v>В</v>
      </c>
      <c r="AP10" s="145" t="str">
        <f t="shared" si="1"/>
        <v/>
      </c>
      <c r="AQ10" s="145" t="str">
        <f t="shared" si="1"/>
        <v/>
      </c>
      <c r="AR10" s="145" t="str">
        <f t="shared" si="1"/>
        <v/>
      </c>
      <c r="AS10" s="145" t="str">
        <f t="shared" si="1"/>
        <v/>
      </c>
      <c r="AT10" s="145" t="str">
        <f t="shared" si="1"/>
        <v/>
      </c>
      <c r="AU10" s="145" t="str">
        <f t="shared" si="1"/>
        <v>В</v>
      </c>
      <c r="AV10" s="145" t="str">
        <f t="shared" si="1"/>
        <v>В</v>
      </c>
      <c r="AW10" s="145" t="str">
        <f t="shared" si="1"/>
        <v/>
      </c>
      <c r="AX10" s="145" t="str">
        <f t="shared" si="1"/>
        <v/>
      </c>
      <c r="AY10" s="145" t="str">
        <f t="shared" si="1"/>
        <v/>
      </c>
      <c r="AZ10" s="145" t="str">
        <f t="shared" si="1"/>
        <v/>
      </c>
      <c r="BA10" s="145" t="str">
        <f t="shared" si="1"/>
        <v/>
      </c>
      <c r="BB10" s="145" t="str">
        <f t="shared" si="1"/>
        <v>В</v>
      </c>
      <c r="BC10" s="145" t="str">
        <f t="shared" si="1"/>
        <v>В</v>
      </c>
      <c r="BD10" s="145" t="str">
        <f t="shared" si="1"/>
        <v/>
      </c>
      <c r="BE10" s="145" t="str">
        <f t="shared" si="1"/>
        <v/>
      </c>
      <c r="BF10" s="145" t="str">
        <f t="shared" si="1"/>
        <v/>
      </c>
      <c r="BG10" s="145" t="str">
        <f t="shared" si="1"/>
        <v/>
      </c>
      <c r="BH10" s="145" t="str">
        <f t="shared" si="1"/>
        <v/>
      </c>
      <c r="BI10" s="145" t="str">
        <f t="shared" si="1"/>
        <v>В</v>
      </c>
      <c r="BJ10" s="145" t="str">
        <f t="shared" si="1"/>
        <v>В</v>
      </c>
      <c r="BK10" s="145" t="str">
        <f t="shared" si="1"/>
        <v/>
      </c>
      <c r="BL10" s="145" t="str">
        <f t="shared" si="1"/>
        <v/>
      </c>
      <c r="BM10" s="145" t="str">
        <f t="shared" si="1"/>
        <v/>
      </c>
      <c r="BN10" s="145" t="str">
        <f t="shared" si="1"/>
        <v/>
      </c>
      <c r="BO10" s="145" t="str">
        <f t="shared" si="1"/>
        <v/>
      </c>
      <c r="BP10" s="145" t="str">
        <f t="shared" si="1"/>
        <v>В</v>
      </c>
      <c r="BQ10" s="145" t="str">
        <f t="shared" si="1"/>
        <v>В</v>
      </c>
      <c r="BR10" s="145" t="str">
        <f t="shared" si="1"/>
        <v/>
      </c>
      <c r="BS10" s="145" t="str">
        <f t="shared" si="1"/>
        <v/>
      </c>
      <c r="BT10" s="145" t="str">
        <f t="shared" si="1"/>
        <v/>
      </c>
      <c r="BU10" s="145" t="str">
        <f t="shared" si="1"/>
        <v/>
      </c>
      <c r="BV10" s="145" t="str">
        <f t="shared" si="1"/>
        <v/>
      </c>
      <c r="BW10" s="145" t="str">
        <f t="shared" si="1"/>
        <v>В</v>
      </c>
      <c r="BX10" s="145" t="str">
        <f t="shared" si="1"/>
        <v>В</v>
      </c>
      <c r="BY10" s="145" t="str">
        <f t="shared" si="1"/>
        <v/>
      </c>
      <c r="BZ10" s="145" t="str">
        <f t="shared" si="1"/>
        <v/>
      </c>
      <c r="CA10" s="145" t="str">
        <f t="shared" si="1"/>
        <v/>
      </c>
      <c r="CB10" s="145" t="str">
        <f t="shared" si="1"/>
        <v/>
      </c>
      <c r="CC10" s="145" t="str">
        <f t="shared" si="1"/>
        <v/>
      </c>
      <c r="CD10" s="145" t="str">
        <f t="shared" si="1"/>
        <v>В</v>
      </c>
      <c r="CE10" s="145" t="str">
        <f t="shared" si="1"/>
        <v>В</v>
      </c>
      <c r="CF10" s="146"/>
      <c r="CG10" s="147"/>
    </row>
    <row r="11" spans="1:85" ht="12" customHeight="1">
      <c r="A11" s="149">
        <v>1</v>
      </c>
      <c r="B11" s="150" t="s">
        <v>348</v>
      </c>
      <c r="C11" s="150" t="s">
        <v>349</v>
      </c>
      <c r="D11" s="150" t="s">
        <v>387</v>
      </c>
      <c r="E11" s="173">
        <v>2</v>
      </c>
      <c r="F11" s="297"/>
      <c r="G11" s="175">
        <f t="shared" ref="G11:G34" si="2">$F$10*E11</f>
        <v>2</v>
      </c>
      <c r="H11" s="150"/>
      <c r="I11" s="200"/>
      <c r="J11" s="150"/>
      <c r="K11" s="150"/>
      <c r="L11" s="150"/>
      <c r="M11" s="151"/>
      <c r="N11" s="149"/>
      <c r="O11" s="149"/>
      <c r="P11" s="152"/>
      <c r="Q11" s="151"/>
      <c r="R11" s="149"/>
      <c r="S11" s="149"/>
      <c r="T11" s="152"/>
      <c r="U11" s="151"/>
      <c r="V11" s="149"/>
      <c r="W11" s="149"/>
      <c r="X11" s="152"/>
      <c r="Y11" s="151"/>
      <c r="Z11" s="149"/>
      <c r="AA11" s="149"/>
      <c r="AB11" s="152"/>
      <c r="AC11" s="153"/>
      <c r="AD11" s="154" t="str">
        <f t="shared" ref="AD11:CE15" si="3">IF(AD$9=$M11,$P11,IF(AD$9=$Q11,$T11,IF(AD$9=$U11,$X11,IF(AD$9=$Y11,$AB11,IF(AD$9=$L11,"ПС",IF(AD$9=$I11,"КС",IF(AND(AD$9&lt;$I11,AD$9&gt;$L11),"--","")))))))</f>
        <v/>
      </c>
      <c r="AE11" s="154" t="str">
        <f t="shared" si="3"/>
        <v/>
      </c>
      <c r="AF11" s="154" t="str">
        <f t="shared" si="3"/>
        <v/>
      </c>
      <c r="AG11" s="154" t="str">
        <f t="shared" si="3"/>
        <v/>
      </c>
      <c r="AH11" s="154" t="str">
        <f t="shared" si="3"/>
        <v/>
      </c>
      <c r="AI11" s="154" t="str">
        <f t="shared" si="3"/>
        <v/>
      </c>
      <c r="AJ11" s="154" t="str">
        <f t="shared" si="3"/>
        <v/>
      </c>
      <c r="AK11" s="154" t="str">
        <f t="shared" si="3"/>
        <v/>
      </c>
      <c r="AL11" s="154" t="str">
        <f t="shared" si="3"/>
        <v/>
      </c>
      <c r="AM11" s="154" t="str">
        <f t="shared" si="3"/>
        <v/>
      </c>
      <c r="AN11" s="154" t="str">
        <f t="shared" si="3"/>
        <v/>
      </c>
      <c r="AO11" s="154" t="str">
        <f t="shared" si="3"/>
        <v/>
      </c>
      <c r="AP11" s="154" t="str">
        <f t="shared" si="3"/>
        <v/>
      </c>
      <c r="AQ11" s="154" t="str">
        <f t="shared" si="3"/>
        <v/>
      </c>
      <c r="AR11" s="154" t="str">
        <f t="shared" si="3"/>
        <v/>
      </c>
      <c r="AS11" s="154" t="str">
        <f t="shared" si="3"/>
        <v/>
      </c>
      <c r="AT11" s="154" t="str">
        <f t="shared" si="3"/>
        <v/>
      </c>
      <c r="AU11" s="154" t="str">
        <f t="shared" si="3"/>
        <v/>
      </c>
      <c r="AV11" s="154" t="str">
        <f t="shared" si="3"/>
        <v/>
      </c>
      <c r="AW11" s="154" t="str">
        <f t="shared" si="3"/>
        <v/>
      </c>
      <c r="AX11" s="154" t="str">
        <f t="shared" si="3"/>
        <v/>
      </c>
      <c r="AY11" s="154" t="str">
        <f t="shared" si="3"/>
        <v/>
      </c>
      <c r="AZ11" s="154" t="str">
        <f t="shared" si="3"/>
        <v/>
      </c>
      <c r="BA11" s="154" t="str">
        <f t="shared" si="3"/>
        <v/>
      </c>
      <c r="BB11" s="154" t="str">
        <f t="shared" si="3"/>
        <v/>
      </c>
      <c r="BC11" s="154" t="str">
        <f t="shared" si="3"/>
        <v/>
      </c>
      <c r="BD11" s="154" t="str">
        <f t="shared" si="3"/>
        <v/>
      </c>
      <c r="BE11" s="154" t="str">
        <f t="shared" si="3"/>
        <v/>
      </c>
      <c r="BF11" s="154" t="str">
        <f t="shared" si="3"/>
        <v/>
      </c>
      <c r="BG11" s="154" t="str">
        <f t="shared" si="3"/>
        <v/>
      </c>
      <c r="BH11" s="154" t="str">
        <f t="shared" si="3"/>
        <v/>
      </c>
      <c r="BI11" s="154" t="str">
        <f t="shared" si="3"/>
        <v/>
      </c>
      <c r="BJ11" s="154" t="str">
        <f t="shared" si="3"/>
        <v/>
      </c>
      <c r="BK11" s="154" t="str">
        <f t="shared" si="3"/>
        <v/>
      </c>
      <c r="BL11" s="154" t="str">
        <f t="shared" si="3"/>
        <v/>
      </c>
      <c r="BM11" s="154" t="str">
        <f t="shared" si="3"/>
        <v/>
      </c>
      <c r="BN11" s="154" t="str">
        <f t="shared" si="3"/>
        <v/>
      </c>
      <c r="BO11" s="154" t="str">
        <f t="shared" si="3"/>
        <v/>
      </c>
      <c r="BP11" s="154" t="str">
        <f t="shared" si="3"/>
        <v/>
      </c>
      <c r="BQ11" s="154" t="str">
        <f t="shared" si="3"/>
        <v/>
      </c>
      <c r="BR11" s="154" t="str">
        <f t="shared" si="3"/>
        <v/>
      </c>
      <c r="BS11" s="154" t="str">
        <f t="shared" si="3"/>
        <v/>
      </c>
      <c r="BT11" s="154" t="str">
        <f t="shared" si="3"/>
        <v/>
      </c>
      <c r="BU11" s="154" t="str">
        <f t="shared" si="3"/>
        <v/>
      </c>
      <c r="BV11" s="154" t="str">
        <f t="shared" si="3"/>
        <v/>
      </c>
      <c r="BW11" s="154" t="str">
        <f t="shared" si="3"/>
        <v/>
      </c>
      <c r="BX11" s="154" t="str">
        <f t="shared" si="3"/>
        <v/>
      </c>
      <c r="BY11" s="154" t="str">
        <f t="shared" si="3"/>
        <v/>
      </c>
      <c r="BZ11" s="154" t="str">
        <f t="shared" si="3"/>
        <v/>
      </c>
      <c r="CA11" s="154" t="str">
        <f t="shared" si="3"/>
        <v/>
      </c>
      <c r="CB11" s="154" t="str">
        <f t="shared" si="3"/>
        <v/>
      </c>
      <c r="CC11" s="154" t="str">
        <f t="shared" si="3"/>
        <v/>
      </c>
      <c r="CD11" s="154" t="str">
        <f t="shared" si="3"/>
        <v/>
      </c>
      <c r="CE11" s="154" t="str">
        <f t="shared" si="3"/>
        <v/>
      </c>
      <c r="CF11" s="155">
        <f t="shared" ref="CF11:CF34" si="4">SUM(AB11+X11+T11+P11)</f>
        <v>0</v>
      </c>
      <c r="CG11" s="156">
        <f t="shared" ref="CG11:CG34" si="5">CF11/E11</f>
        <v>0</v>
      </c>
    </row>
    <row r="12" spans="1:85" ht="12" customHeight="1">
      <c r="A12" s="149">
        <v>2</v>
      </c>
      <c r="B12" s="150" t="s">
        <v>309</v>
      </c>
      <c r="C12" s="150" t="s">
        <v>310</v>
      </c>
      <c r="D12" s="150" t="s">
        <v>387</v>
      </c>
      <c r="E12" s="173">
        <v>1</v>
      </c>
      <c r="F12" s="297"/>
      <c r="G12" s="175">
        <f t="shared" si="2"/>
        <v>1</v>
      </c>
      <c r="H12" s="150"/>
      <c r="I12" s="200"/>
      <c r="J12" s="150"/>
      <c r="K12" s="150"/>
      <c r="L12" s="150"/>
      <c r="M12" s="151"/>
      <c r="N12" s="149"/>
      <c r="O12" s="149"/>
      <c r="P12" s="152"/>
      <c r="Q12" s="151"/>
      <c r="R12" s="149"/>
      <c r="S12" s="149"/>
      <c r="T12" s="152"/>
      <c r="U12" s="151"/>
      <c r="V12" s="149"/>
      <c r="W12" s="149"/>
      <c r="X12" s="152"/>
      <c r="Y12" s="151"/>
      <c r="Z12" s="149"/>
      <c r="AA12" s="149"/>
      <c r="AB12" s="152"/>
      <c r="AC12" s="153"/>
      <c r="AD12" s="154" t="str">
        <f t="shared" si="3"/>
        <v/>
      </c>
      <c r="AE12" s="154" t="str">
        <f t="shared" si="3"/>
        <v/>
      </c>
      <c r="AF12" s="154" t="str">
        <f t="shared" si="3"/>
        <v/>
      </c>
      <c r="AG12" s="154" t="str">
        <f t="shared" si="3"/>
        <v/>
      </c>
      <c r="AH12" s="154" t="str">
        <f t="shared" si="3"/>
        <v/>
      </c>
      <c r="AI12" s="154" t="str">
        <f t="shared" si="3"/>
        <v/>
      </c>
      <c r="AJ12" s="154" t="str">
        <f t="shared" si="3"/>
        <v/>
      </c>
      <c r="AK12" s="154" t="str">
        <f t="shared" si="3"/>
        <v/>
      </c>
      <c r="AL12" s="154" t="str">
        <f t="shared" si="3"/>
        <v/>
      </c>
      <c r="AM12" s="154" t="str">
        <f t="shared" si="3"/>
        <v/>
      </c>
      <c r="AN12" s="154" t="str">
        <f t="shared" si="3"/>
        <v/>
      </c>
      <c r="AO12" s="154" t="str">
        <f t="shared" si="3"/>
        <v/>
      </c>
      <c r="AP12" s="154" t="str">
        <f t="shared" si="3"/>
        <v/>
      </c>
      <c r="AQ12" s="154" t="str">
        <f t="shared" si="3"/>
        <v/>
      </c>
      <c r="AR12" s="154" t="str">
        <f t="shared" si="3"/>
        <v/>
      </c>
      <c r="AS12" s="154" t="str">
        <f t="shared" si="3"/>
        <v/>
      </c>
      <c r="AT12" s="154" t="str">
        <f t="shared" si="3"/>
        <v/>
      </c>
      <c r="AU12" s="154" t="str">
        <f t="shared" si="3"/>
        <v/>
      </c>
      <c r="AV12" s="154" t="str">
        <f t="shared" si="3"/>
        <v/>
      </c>
      <c r="AW12" s="154" t="str">
        <f t="shared" si="3"/>
        <v/>
      </c>
      <c r="AX12" s="154" t="str">
        <f t="shared" si="3"/>
        <v/>
      </c>
      <c r="AY12" s="154" t="str">
        <f t="shared" si="3"/>
        <v/>
      </c>
      <c r="AZ12" s="154" t="str">
        <f t="shared" si="3"/>
        <v/>
      </c>
      <c r="BA12" s="154" t="str">
        <f t="shared" si="3"/>
        <v/>
      </c>
      <c r="BB12" s="154" t="str">
        <f t="shared" si="3"/>
        <v/>
      </c>
      <c r="BC12" s="154" t="str">
        <f t="shared" si="3"/>
        <v/>
      </c>
      <c r="BD12" s="154" t="str">
        <f t="shared" si="3"/>
        <v/>
      </c>
      <c r="BE12" s="154" t="str">
        <f t="shared" si="3"/>
        <v/>
      </c>
      <c r="BF12" s="154" t="str">
        <f t="shared" si="3"/>
        <v/>
      </c>
      <c r="BG12" s="154" t="str">
        <f t="shared" si="3"/>
        <v/>
      </c>
      <c r="BH12" s="154" t="str">
        <f t="shared" si="3"/>
        <v/>
      </c>
      <c r="BI12" s="154" t="str">
        <f t="shared" si="3"/>
        <v/>
      </c>
      <c r="BJ12" s="154" t="str">
        <f t="shared" si="3"/>
        <v/>
      </c>
      <c r="BK12" s="154" t="str">
        <f t="shared" si="3"/>
        <v/>
      </c>
      <c r="BL12" s="154" t="str">
        <f t="shared" si="3"/>
        <v/>
      </c>
      <c r="BM12" s="154" t="str">
        <f t="shared" si="3"/>
        <v/>
      </c>
      <c r="BN12" s="154" t="str">
        <f t="shared" si="3"/>
        <v/>
      </c>
      <c r="BO12" s="154" t="str">
        <f t="shared" si="3"/>
        <v/>
      </c>
      <c r="BP12" s="154" t="str">
        <f t="shared" si="3"/>
        <v/>
      </c>
      <c r="BQ12" s="154" t="str">
        <f t="shared" si="3"/>
        <v/>
      </c>
      <c r="BR12" s="154" t="str">
        <f t="shared" si="3"/>
        <v/>
      </c>
      <c r="BS12" s="154" t="str">
        <f t="shared" si="3"/>
        <v/>
      </c>
      <c r="BT12" s="154" t="str">
        <f t="shared" si="3"/>
        <v/>
      </c>
      <c r="BU12" s="154" t="str">
        <f t="shared" si="3"/>
        <v/>
      </c>
      <c r="BV12" s="154" t="str">
        <f t="shared" si="3"/>
        <v/>
      </c>
      <c r="BW12" s="154" t="str">
        <f t="shared" si="3"/>
        <v/>
      </c>
      <c r="BX12" s="154" t="str">
        <f t="shared" si="3"/>
        <v/>
      </c>
      <c r="BY12" s="154" t="str">
        <f t="shared" si="3"/>
        <v/>
      </c>
      <c r="BZ12" s="154" t="str">
        <f t="shared" si="3"/>
        <v/>
      </c>
      <c r="CA12" s="154" t="str">
        <f t="shared" si="3"/>
        <v/>
      </c>
      <c r="CB12" s="154" t="str">
        <f t="shared" si="3"/>
        <v/>
      </c>
      <c r="CC12" s="154" t="str">
        <f t="shared" si="3"/>
        <v/>
      </c>
      <c r="CD12" s="154" t="str">
        <f t="shared" si="3"/>
        <v/>
      </c>
      <c r="CE12" s="154" t="str">
        <f t="shared" si="3"/>
        <v/>
      </c>
      <c r="CF12" s="155">
        <f t="shared" si="4"/>
        <v>0</v>
      </c>
      <c r="CG12" s="156">
        <f t="shared" si="5"/>
        <v>0</v>
      </c>
    </row>
    <row r="13" spans="1:85" ht="12" customHeight="1">
      <c r="A13" s="149">
        <v>3</v>
      </c>
      <c r="B13" s="150" t="s">
        <v>334</v>
      </c>
      <c r="C13" s="150" t="s">
        <v>335</v>
      </c>
      <c r="D13" s="150" t="s">
        <v>387</v>
      </c>
      <c r="E13" s="173">
        <v>4</v>
      </c>
      <c r="F13" s="297"/>
      <c r="G13" s="175">
        <f t="shared" si="2"/>
        <v>4</v>
      </c>
      <c r="H13" s="150"/>
      <c r="I13" s="200"/>
      <c r="J13" s="150"/>
      <c r="K13" s="150"/>
      <c r="L13" s="150"/>
      <c r="M13" s="151"/>
      <c r="N13" s="149"/>
      <c r="O13" s="149"/>
      <c r="P13" s="152"/>
      <c r="Q13" s="151"/>
      <c r="R13" s="149"/>
      <c r="S13" s="149"/>
      <c r="T13" s="152"/>
      <c r="U13" s="151"/>
      <c r="V13" s="149"/>
      <c r="W13" s="149"/>
      <c r="X13" s="152"/>
      <c r="Y13" s="151"/>
      <c r="Z13" s="149"/>
      <c r="AA13" s="149"/>
      <c r="AB13" s="152"/>
      <c r="AC13" s="153"/>
      <c r="AD13" s="154" t="str">
        <f t="shared" si="3"/>
        <v/>
      </c>
      <c r="AE13" s="154" t="str">
        <f t="shared" si="3"/>
        <v/>
      </c>
      <c r="AF13" s="154" t="str">
        <f t="shared" si="3"/>
        <v/>
      </c>
      <c r="AG13" s="154" t="str">
        <f t="shared" si="3"/>
        <v/>
      </c>
      <c r="AH13" s="154" t="str">
        <f t="shared" si="3"/>
        <v/>
      </c>
      <c r="AI13" s="154" t="str">
        <f t="shared" si="3"/>
        <v/>
      </c>
      <c r="AJ13" s="154" t="str">
        <f t="shared" si="3"/>
        <v/>
      </c>
      <c r="AK13" s="154" t="str">
        <f t="shared" si="3"/>
        <v/>
      </c>
      <c r="AL13" s="154" t="str">
        <f t="shared" si="3"/>
        <v/>
      </c>
      <c r="AM13" s="154" t="str">
        <f t="shared" si="3"/>
        <v/>
      </c>
      <c r="AN13" s="154" t="str">
        <f t="shared" si="3"/>
        <v/>
      </c>
      <c r="AO13" s="154" t="str">
        <f t="shared" si="3"/>
        <v/>
      </c>
      <c r="AP13" s="154" t="str">
        <f t="shared" si="3"/>
        <v/>
      </c>
      <c r="AQ13" s="154" t="str">
        <f t="shared" si="3"/>
        <v/>
      </c>
      <c r="AR13" s="154" t="str">
        <f t="shared" si="3"/>
        <v/>
      </c>
      <c r="AS13" s="154" t="str">
        <f t="shared" si="3"/>
        <v/>
      </c>
      <c r="AT13" s="154" t="str">
        <f t="shared" si="3"/>
        <v/>
      </c>
      <c r="AU13" s="154" t="str">
        <f t="shared" si="3"/>
        <v/>
      </c>
      <c r="AV13" s="154" t="str">
        <f t="shared" si="3"/>
        <v/>
      </c>
      <c r="AW13" s="154" t="str">
        <f t="shared" si="3"/>
        <v/>
      </c>
      <c r="AX13" s="154" t="str">
        <f t="shared" si="3"/>
        <v/>
      </c>
      <c r="AY13" s="154" t="str">
        <f t="shared" si="3"/>
        <v/>
      </c>
      <c r="AZ13" s="154" t="str">
        <f t="shared" si="3"/>
        <v/>
      </c>
      <c r="BA13" s="154" t="str">
        <f t="shared" si="3"/>
        <v/>
      </c>
      <c r="BB13" s="154" t="str">
        <f t="shared" si="3"/>
        <v/>
      </c>
      <c r="BC13" s="154" t="str">
        <f t="shared" si="3"/>
        <v/>
      </c>
      <c r="BD13" s="154" t="str">
        <f t="shared" si="3"/>
        <v/>
      </c>
      <c r="BE13" s="154" t="str">
        <f t="shared" si="3"/>
        <v/>
      </c>
      <c r="BF13" s="154" t="str">
        <f t="shared" si="3"/>
        <v/>
      </c>
      <c r="BG13" s="154" t="str">
        <f t="shared" si="3"/>
        <v/>
      </c>
      <c r="BH13" s="154" t="str">
        <f t="shared" si="3"/>
        <v/>
      </c>
      <c r="BI13" s="154" t="str">
        <f t="shared" si="3"/>
        <v/>
      </c>
      <c r="BJ13" s="154" t="str">
        <f t="shared" si="3"/>
        <v/>
      </c>
      <c r="BK13" s="154" t="str">
        <f t="shared" si="3"/>
        <v/>
      </c>
      <c r="BL13" s="154" t="str">
        <f t="shared" si="3"/>
        <v/>
      </c>
      <c r="BM13" s="154" t="str">
        <f t="shared" si="3"/>
        <v/>
      </c>
      <c r="BN13" s="154" t="str">
        <f t="shared" si="3"/>
        <v/>
      </c>
      <c r="BO13" s="154" t="str">
        <f t="shared" si="3"/>
        <v/>
      </c>
      <c r="BP13" s="154" t="str">
        <f t="shared" si="3"/>
        <v/>
      </c>
      <c r="BQ13" s="154" t="str">
        <f t="shared" si="3"/>
        <v/>
      </c>
      <c r="BR13" s="154" t="str">
        <f t="shared" si="3"/>
        <v/>
      </c>
      <c r="BS13" s="154" t="str">
        <f t="shared" si="3"/>
        <v/>
      </c>
      <c r="BT13" s="154" t="str">
        <f t="shared" si="3"/>
        <v/>
      </c>
      <c r="BU13" s="154" t="str">
        <f t="shared" si="3"/>
        <v/>
      </c>
      <c r="BV13" s="154" t="str">
        <f t="shared" si="3"/>
        <v/>
      </c>
      <c r="BW13" s="154" t="str">
        <f t="shared" si="3"/>
        <v/>
      </c>
      <c r="BX13" s="154" t="str">
        <f t="shared" si="3"/>
        <v/>
      </c>
      <c r="BY13" s="154" t="str">
        <f t="shared" si="3"/>
        <v/>
      </c>
      <c r="BZ13" s="154" t="str">
        <f t="shared" si="3"/>
        <v/>
      </c>
      <c r="CA13" s="154" t="str">
        <f t="shared" si="3"/>
        <v/>
      </c>
      <c r="CB13" s="154" t="str">
        <f t="shared" si="3"/>
        <v/>
      </c>
      <c r="CC13" s="154" t="str">
        <f t="shared" si="3"/>
        <v/>
      </c>
      <c r="CD13" s="154" t="str">
        <f t="shared" si="3"/>
        <v/>
      </c>
      <c r="CE13" s="154" t="str">
        <f t="shared" si="3"/>
        <v/>
      </c>
      <c r="CF13" s="155">
        <f t="shared" si="4"/>
        <v>0</v>
      </c>
      <c r="CG13" s="156">
        <f t="shared" si="5"/>
        <v>0</v>
      </c>
    </row>
    <row r="14" spans="1:85" ht="12" customHeight="1">
      <c r="A14" s="149">
        <v>4</v>
      </c>
      <c r="B14" s="150" t="s">
        <v>332</v>
      </c>
      <c r="C14" s="150" t="s">
        <v>315</v>
      </c>
      <c r="D14" s="150" t="s">
        <v>387</v>
      </c>
      <c r="E14" s="173">
        <v>1</v>
      </c>
      <c r="F14" s="297"/>
      <c r="G14" s="175">
        <f t="shared" si="2"/>
        <v>1</v>
      </c>
      <c r="H14" s="150"/>
      <c r="I14" s="200"/>
      <c r="J14" s="150"/>
      <c r="K14" s="150"/>
      <c r="L14" s="150"/>
      <c r="M14" s="151"/>
      <c r="N14" s="149"/>
      <c r="O14" s="149"/>
      <c r="P14" s="152"/>
      <c r="Q14" s="151"/>
      <c r="R14" s="149"/>
      <c r="S14" s="149"/>
      <c r="T14" s="152"/>
      <c r="U14" s="151"/>
      <c r="V14" s="149"/>
      <c r="W14" s="149"/>
      <c r="X14" s="152"/>
      <c r="Y14" s="151"/>
      <c r="Z14" s="149"/>
      <c r="AA14" s="149"/>
      <c r="AB14" s="152"/>
      <c r="AC14" s="153"/>
      <c r="AD14" s="154" t="str">
        <f t="shared" si="3"/>
        <v/>
      </c>
      <c r="AE14" s="154" t="str">
        <f t="shared" si="3"/>
        <v/>
      </c>
      <c r="AF14" s="154" t="str">
        <f t="shared" si="3"/>
        <v/>
      </c>
      <c r="AG14" s="154" t="str">
        <f t="shared" si="3"/>
        <v/>
      </c>
      <c r="AH14" s="154" t="str">
        <f t="shared" si="3"/>
        <v/>
      </c>
      <c r="AI14" s="154" t="str">
        <f t="shared" si="3"/>
        <v/>
      </c>
      <c r="AJ14" s="154" t="str">
        <f t="shared" si="3"/>
        <v/>
      </c>
      <c r="AK14" s="154" t="str">
        <f t="shared" si="3"/>
        <v/>
      </c>
      <c r="AL14" s="154" t="str">
        <f t="shared" si="3"/>
        <v/>
      </c>
      <c r="AM14" s="154" t="str">
        <f t="shared" si="3"/>
        <v/>
      </c>
      <c r="AN14" s="154" t="str">
        <f t="shared" si="3"/>
        <v/>
      </c>
      <c r="AO14" s="154" t="str">
        <f t="shared" si="3"/>
        <v/>
      </c>
      <c r="AP14" s="154" t="str">
        <f t="shared" si="3"/>
        <v/>
      </c>
      <c r="AQ14" s="154" t="str">
        <f t="shared" si="3"/>
        <v/>
      </c>
      <c r="AR14" s="154" t="str">
        <f t="shared" si="3"/>
        <v/>
      </c>
      <c r="AS14" s="154" t="str">
        <f t="shared" si="3"/>
        <v/>
      </c>
      <c r="AT14" s="154" t="str">
        <f t="shared" si="3"/>
        <v/>
      </c>
      <c r="AU14" s="154" t="str">
        <f t="shared" si="3"/>
        <v/>
      </c>
      <c r="AV14" s="154" t="str">
        <f t="shared" si="3"/>
        <v/>
      </c>
      <c r="AW14" s="154" t="str">
        <f t="shared" si="3"/>
        <v/>
      </c>
      <c r="AX14" s="154" t="str">
        <f t="shared" si="3"/>
        <v/>
      </c>
      <c r="AY14" s="154" t="str">
        <f t="shared" si="3"/>
        <v/>
      </c>
      <c r="AZ14" s="154" t="str">
        <f t="shared" si="3"/>
        <v/>
      </c>
      <c r="BA14" s="154" t="str">
        <f t="shared" si="3"/>
        <v/>
      </c>
      <c r="BB14" s="154" t="str">
        <f t="shared" si="3"/>
        <v/>
      </c>
      <c r="BC14" s="154" t="str">
        <f t="shared" si="3"/>
        <v/>
      </c>
      <c r="BD14" s="154" t="str">
        <f t="shared" si="3"/>
        <v/>
      </c>
      <c r="BE14" s="154" t="str">
        <f t="shared" si="3"/>
        <v/>
      </c>
      <c r="BF14" s="154" t="str">
        <f t="shared" si="3"/>
        <v/>
      </c>
      <c r="BG14" s="154" t="str">
        <f t="shared" si="3"/>
        <v/>
      </c>
      <c r="BH14" s="154" t="str">
        <f t="shared" si="3"/>
        <v/>
      </c>
      <c r="BI14" s="154" t="str">
        <f t="shared" si="3"/>
        <v/>
      </c>
      <c r="BJ14" s="154" t="str">
        <f t="shared" si="3"/>
        <v/>
      </c>
      <c r="BK14" s="154" t="str">
        <f t="shared" si="3"/>
        <v/>
      </c>
      <c r="BL14" s="154" t="str">
        <f t="shared" si="3"/>
        <v/>
      </c>
      <c r="BM14" s="154" t="str">
        <f t="shared" si="3"/>
        <v/>
      </c>
      <c r="BN14" s="154" t="str">
        <f t="shared" si="3"/>
        <v/>
      </c>
      <c r="BO14" s="154" t="str">
        <f t="shared" si="3"/>
        <v/>
      </c>
      <c r="BP14" s="154" t="str">
        <f t="shared" si="3"/>
        <v/>
      </c>
      <c r="BQ14" s="154" t="str">
        <f t="shared" si="3"/>
        <v/>
      </c>
      <c r="BR14" s="154" t="str">
        <f t="shared" si="3"/>
        <v/>
      </c>
      <c r="BS14" s="154" t="str">
        <f t="shared" si="3"/>
        <v/>
      </c>
      <c r="BT14" s="154" t="str">
        <f t="shared" si="3"/>
        <v/>
      </c>
      <c r="BU14" s="154" t="str">
        <f t="shared" si="3"/>
        <v/>
      </c>
      <c r="BV14" s="154" t="str">
        <f t="shared" si="3"/>
        <v/>
      </c>
      <c r="BW14" s="154" t="str">
        <f t="shared" si="3"/>
        <v/>
      </c>
      <c r="BX14" s="154" t="str">
        <f t="shared" si="3"/>
        <v/>
      </c>
      <c r="BY14" s="154" t="str">
        <f t="shared" si="3"/>
        <v/>
      </c>
      <c r="BZ14" s="154" t="str">
        <f t="shared" si="3"/>
        <v/>
      </c>
      <c r="CA14" s="154" t="str">
        <f t="shared" si="3"/>
        <v/>
      </c>
      <c r="CB14" s="154" t="str">
        <f t="shared" si="3"/>
        <v/>
      </c>
      <c r="CC14" s="154" t="str">
        <f t="shared" si="3"/>
        <v/>
      </c>
      <c r="CD14" s="154" t="str">
        <f t="shared" si="3"/>
        <v/>
      </c>
      <c r="CE14" s="154" t="str">
        <f t="shared" si="3"/>
        <v/>
      </c>
      <c r="CF14" s="155">
        <f t="shared" si="4"/>
        <v>0</v>
      </c>
      <c r="CG14" s="156">
        <f t="shared" si="5"/>
        <v>0</v>
      </c>
    </row>
    <row r="15" spans="1:85" ht="12" customHeight="1">
      <c r="A15" s="149">
        <v>5</v>
      </c>
      <c r="B15" s="150" t="s">
        <v>314</v>
      </c>
      <c r="C15" s="150" t="s">
        <v>315</v>
      </c>
      <c r="D15" s="150" t="s">
        <v>387</v>
      </c>
      <c r="E15" s="173">
        <v>1</v>
      </c>
      <c r="F15" s="297"/>
      <c r="G15" s="175">
        <f t="shared" si="2"/>
        <v>1</v>
      </c>
      <c r="H15" s="150"/>
      <c r="I15" s="200"/>
      <c r="J15" s="150"/>
      <c r="K15" s="150"/>
      <c r="L15" s="150"/>
      <c r="M15" s="151"/>
      <c r="N15" s="149"/>
      <c r="O15" s="149"/>
      <c r="P15" s="152"/>
      <c r="Q15" s="151"/>
      <c r="R15" s="149"/>
      <c r="S15" s="149"/>
      <c r="T15" s="152"/>
      <c r="U15" s="151"/>
      <c r="V15" s="149"/>
      <c r="W15" s="149"/>
      <c r="X15" s="152"/>
      <c r="Y15" s="151"/>
      <c r="Z15" s="149"/>
      <c r="AA15" s="149"/>
      <c r="AB15" s="152"/>
      <c r="AC15" s="153"/>
      <c r="AD15" s="154" t="str">
        <f t="shared" si="3"/>
        <v/>
      </c>
      <c r="AE15" s="154" t="str">
        <f t="shared" si="3"/>
        <v/>
      </c>
      <c r="AF15" s="154" t="str">
        <f t="shared" si="3"/>
        <v/>
      </c>
      <c r="AG15" s="154" t="str">
        <f t="shared" si="3"/>
        <v/>
      </c>
      <c r="AH15" s="154" t="str">
        <f t="shared" si="3"/>
        <v/>
      </c>
      <c r="AI15" s="154" t="str">
        <f t="shared" si="3"/>
        <v/>
      </c>
      <c r="AJ15" s="154" t="str">
        <f t="shared" si="3"/>
        <v/>
      </c>
      <c r="AK15" s="154" t="str">
        <f t="shared" si="3"/>
        <v/>
      </c>
      <c r="AL15" s="154" t="str">
        <f t="shared" si="3"/>
        <v/>
      </c>
      <c r="AM15" s="154" t="str">
        <f t="shared" si="3"/>
        <v/>
      </c>
      <c r="AN15" s="154" t="str">
        <f t="shared" si="3"/>
        <v/>
      </c>
      <c r="AO15" s="154" t="str">
        <f t="shared" si="3"/>
        <v/>
      </c>
      <c r="AP15" s="154" t="str">
        <f t="shared" si="3"/>
        <v/>
      </c>
      <c r="AQ15" s="154" t="str">
        <f t="shared" si="3"/>
        <v/>
      </c>
      <c r="AR15" s="154" t="str">
        <f t="shared" si="3"/>
        <v/>
      </c>
      <c r="AS15" s="154" t="str">
        <f t="shared" si="3"/>
        <v/>
      </c>
      <c r="AT15" s="154" t="str">
        <f t="shared" si="3"/>
        <v/>
      </c>
      <c r="AU15" s="154" t="str">
        <f t="shared" si="3"/>
        <v/>
      </c>
      <c r="AV15" s="154" t="str">
        <f t="shared" si="3"/>
        <v/>
      </c>
      <c r="AW15" s="154" t="str">
        <f t="shared" si="3"/>
        <v/>
      </c>
      <c r="AX15" s="154" t="str">
        <f t="shared" si="3"/>
        <v/>
      </c>
      <c r="AY15" s="154" t="str">
        <f t="shared" si="3"/>
        <v/>
      </c>
      <c r="AZ15" s="154" t="str">
        <f t="shared" si="3"/>
        <v/>
      </c>
      <c r="BA15" s="154" t="str">
        <f t="shared" si="3"/>
        <v/>
      </c>
      <c r="BB15" s="154" t="str">
        <f t="shared" si="3"/>
        <v/>
      </c>
      <c r="BC15" s="154" t="str">
        <f t="shared" si="3"/>
        <v/>
      </c>
      <c r="BD15" s="154" t="str">
        <f t="shared" si="3"/>
        <v/>
      </c>
      <c r="BE15" s="154" t="str">
        <f t="shared" si="3"/>
        <v/>
      </c>
      <c r="BF15" s="154" t="str">
        <f t="shared" si="3"/>
        <v/>
      </c>
      <c r="BG15" s="154" t="str">
        <f t="shared" si="3"/>
        <v/>
      </c>
      <c r="BH15" s="154" t="str">
        <f t="shared" si="3"/>
        <v/>
      </c>
      <c r="BI15" s="154" t="str">
        <f t="shared" si="3"/>
        <v/>
      </c>
      <c r="BJ15" s="154" t="str">
        <f t="shared" si="3"/>
        <v/>
      </c>
      <c r="BK15" s="154" t="str">
        <f t="shared" si="3"/>
        <v/>
      </c>
      <c r="BL15" s="154" t="str">
        <f t="shared" si="3"/>
        <v/>
      </c>
      <c r="BM15" s="154" t="str">
        <f t="shared" si="3"/>
        <v/>
      </c>
      <c r="BN15" s="154" t="str">
        <f t="shared" si="3"/>
        <v/>
      </c>
      <c r="BO15" s="154" t="str">
        <f t="shared" si="3"/>
        <v/>
      </c>
      <c r="BP15" s="154" t="str">
        <f t="shared" si="3"/>
        <v/>
      </c>
      <c r="BQ15" s="154" t="str">
        <f t="shared" ref="BQ15:CE15" si="6">IF(BQ$9=$M15,$P15,IF(BQ$9=$Q15,$T15,IF(BQ$9=$U15,$X15,IF(BQ$9=$Y15,$AB15,IF(BQ$9=$L15,"ПС",IF(BQ$9=$I15,"КС",IF(AND(BQ$9&lt;$I15,BQ$9&gt;$L15),"--","")))))))</f>
        <v/>
      </c>
      <c r="BR15" s="154" t="str">
        <f t="shared" si="6"/>
        <v/>
      </c>
      <c r="BS15" s="154" t="str">
        <f t="shared" si="6"/>
        <v/>
      </c>
      <c r="BT15" s="154" t="str">
        <f t="shared" si="6"/>
        <v/>
      </c>
      <c r="BU15" s="154" t="str">
        <f t="shared" si="6"/>
        <v/>
      </c>
      <c r="BV15" s="154" t="str">
        <f t="shared" si="6"/>
        <v/>
      </c>
      <c r="BW15" s="154" t="str">
        <f t="shared" si="6"/>
        <v/>
      </c>
      <c r="BX15" s="154" t="str">
        <f t="shared" si="6"/>
        <v/>
      </c>
      <c r="BY15" s="154" t="str">
        <f t="shared" si="6"/>
        <v/>
      </c>
      <c r="BZ15" s="154" t="str">
        <f t="shared" si="6"/>
        <v/>
      </c>
      <c r="CA15" s="154" t="str">
        <f t="shared" si="6"/>
        <v/>
      </c>
      <c r="CB15" s="154" t="str">
        <f t="shared" si="6"/>
        <v/>
      </c>
      <c r="CC15" s="154" t="str">
        <f t="shared" si="6"/>
        <v/>
      </c>
      <c r="CD15" s="154" t="str">
        <f t="shared" si="6"/>
        <v/>
      </c>
      <c r="CE15" s="154" t="str">
        <f t="shared" si="6"/>
        <v/>
      </c>
      <c r="CF15" s="155">
        <f t="shared" si="4"/>
        <v>0</v>
      </c>
      <c r="CG15" s="156">
        <f t="shared" si="5"/>
        <v>0</v>
      </c>
    </row>
    <row r="16" spans="1:85" ht="12" customHeight="1">
      <c r="A16" s="149">
        <v>6</v>
      </c>
      <c r="B16" s="150" t="s">
        <v>317</v>
      </c>
      <c r="C16" s="150" t="s">
        <v>301</v>
      </c>
      <c r="D16" s="150" t="s">
        <v>387</v>
      </c>
      <c r="E16" s="173">
        <v>2</v>
      </c>
      <c r="F16" s="297"/>
      <c r="G16" s="175">
        <f t="shared" si="2"/>
        <v>2</v>
      </c>
      <c r="H16" s="150"/>
      <c r="I16" s="200"/>
      <c r="J16" s="150"/>
      <c r="K16" s="150"/>
      <c r="L16" s="150"/>
      <c r="M16" s="151"/>
      <c r="N16" s="149"/>
      <c r="O16" s="149"/>
      <c r="P16" s="152"/>
      <c r="Q16" s="151"/>
      <c r="R16" s="149"/>
      <c r="S16" s="149"/>
      <c r="T16" s="152"/>
      <c r="U16" s="151"/>
      <c r="V16" s="149"/>
      <c r="W16" s="149"/>
      <c r="X16" s="152"/>
      <c r="Y16" s="151"/>
      <c r="Z16" s="149"/>
      <c r="AA16" s="149"/>
      <c r="AB16" s="152"/>
      <c r="AC16" s="153"/>
      <c r="AD16" s="154" t="str">
        <f t="shared" ref="AD16:CE20" si="7">IF(AD$9=$M16,$P16,IF(AD$9=$Q16,$T16,IF(AD$9=$U16,$X16,IF(AD$9=$Y16,$AB16,IF(AD$9=$L16,"ПС",IF(AD$9=$I16,"КС",IF(AND(AD$9&lt;$I16,AD$9&gt;$L16),"--","")))))))</f>
        <v/>
      </c>
      <c r="AE16" s="154" t="str">
        <f t="shared" si="7"/>
        <v/>
      </c>
      <c r="AF16" s="154" t="str">
        <f t="shared" si="7"/>
        <v/>
      </c>
      <c r="AG16" s="154" t="str">
        <f t="shared" si="7"/>
        <v/>
      </c>
      <c r="AH16" s="154" t="str">
        <f t="shared" si="7"/>
        <v/>
      </c>
      <c r="AI16" s="154" t="str">
        <f t="shared" si="7"/>
        <v/>
      </c>
      <c r="AJ16" s="154" t="str">
        <f t="shared" si="7"/>
        <v/>
      </c>
      <c r="AK16" s="154" t="str">
        <f t="shared" si="7"/>
        <v/>
      </c>
      <c r="AL16" s="154" t="str">
        <f t="shared" si="7"/>
        <v/>
      </c>
      <c r="AM16" s="154" t="str">
        <f t="shared" si="7"/>
        <v/>
      </c>
      <c r="AN16" s="154" t="str">
        <f t="shared" si="7"/>
        <v/>
      </c>
      <c r="AO16" s="154" t="str">
        <f t="shared" si="7"/>
        <v/>
      </c>
      <c r="AP16" s="154" t="str">
        <f t="shared" si="7"/>
        <v/>
      </c>
      <c r="AQ16" s="154" t="str">
        <f t="shared" si="7"/>
        <v/>
      </c>
      <c r="AR16" s="154" t="str">
        <f t="shared" si="7"/>
        <v/>
      </c>
      <c r="AS16" s="154" t="str">
        <f t="shared" si="7"/>
        <v/>
      </c>
      <c r="AT16" s="154" t="str">
        <f t="shared" si="7"/>
        <v/>
      </c>
      <c r="AU16" s="154" t="str">
        <f t="shared" si="7"/>
        <v/>
      </c>
      <c r="AV16" s="154" t="str">
        <f t="shared" si="7"/>
        <v/>
      </c>
      <c r="AW16" s="154" t="str">
        <f t="shared" si="7"/>
        <v/>
      </c>
      <c r="AX16" s="154" t="str">
        <f t="shared" si="7"/>
        <v/>
      </c>
      <c r="AY16" s="154" t="str">
        <f t="shared" si="7"/>
        <v/>
      </c>
      <c r="AZ16" s="154" t="str">
        <f t="shared" si="7"/>
        <v/>
      </c>
      <c r="BA16" s="154" t="str">
        <f t="shared" si="7"/>
        <v/>
      </c>
      <c r="BB16" s="154" t="str">
        <f t="shared" si="7"/>
        <v/>
      </c>
      <c r="BC16" s="154" t="str">
        <f t="shared" si="7"/>
        <v/>
      </c>
      <c r="BD16" s="154" t="str">
        <f t="shared" si="7"/>
        <v/>
      </c>
      <c r="BE16" s="154" t="str">
        <f t="shared" si="7"/>
        <v/>
      </c>
      <c r="BF16" s="154" t="str">
        <f t="shared" si="7"/>
        <v/>
      </c>
      <c r="BG16" s="154" t="str">
        <f t="shared" si="7"/>
        <v/>
      </c>
      <c r="BH16" s="154" t="str">
        <f t="shared" si="7"/>
        <v/>
      </c>
      <c r="BI16" s="154" t="str">
        <f t="shared" si="7"/>
        <v/>
      </c>
      <c r="BJ16" s="154" t="str">
        <f t="shared" si="7"/>
        <v/>
      </c>
      <c r="BK16" s="154" t="str">
        <f t="shared" si="7"/>
        <v/>
      </c>
      <c r="BL16" s="154" t="str">
        <f t="shared" si="7"/>
        <v/>
      </c>
      <c r="BM16" s="154" t="str">
        <f t="shared" si="7"/>
        <v/>
      </c>
      <c r="BN16" s="154" t="str">
        <f t="shared" si="7"/>
        <v/>
      </c>
      <c r="BO16" s="154" t="str">
        <f t="shared" si="7"/>
        <v/>
      </c>
      <c r="BP16" s="154" t="str">
        <f t="shared" si="7"/>
        <v/>
      </c>
      <c r="BQ16" s="154" t="str">
        <f t="shared" si="7"/>
        <v/>
      </c>
      <c r="BR16" s="154" t="str">
        <f t="shared" si="7"/>
        <v/>
      </c>
      <c r="BS16" s="154" t="str">
        <f t="shared" si="7"/>
        <v/>
      </c>
      <c r="BT16" s="154" t="str">
        <f t="shared" si="7"/>
        <v/>
      </c>
      <c r="BU16" s="154" t="str">
        <f t="shared" si="7"/>
        <v/>
      </c>
      <c r="BV16" s="154" t="str">
        <f t="shared" si="7"/>
        <v/>
      </c>
      <c r="BW16" s="154" t="str">
        <f t="shared" si="7"/>
        <v/>
      </c>
      <c r="BX16" s="154" t="str">
        <f t="shared" si="7"/>
        <v/>
      </c>
      <c r="BY16" s="154" t="str">
        <f t="shared" si="7"/>
        <v/>
      </c>
      <c r="BZ16" s="154" t="str">
        <f t="shared" si="7"/>
        <v/>
      </c>
      <c r="CA16" s="154" t="str">
        <f t="shared" si="7"/>
        <v/>
      </c>
      <c r="CB16" s="154" t="str">
        <f t="shared" si="7"/>
        <v/>
      </c>
      <c r="CC16" s="154" t="str">
        <f t="shared" si="7"/>
        <v/>
      </c>
      <c r="CD16" s="154" t="str">
        <f t="shared" si="7"/>
        <v/>
      </c>
      <c r="CE16" s="154" t="str">
        <f t="shared" si="7"/>
        <v/>
      </c>
      <c r="CF16" s="155">
        <f t="shared" si="4"/>
        <v>0</v>
      </c>
      <c r="CG16" s="156">
        <f t="shared" si="5"/>
        <v>0</v>
      </c>
    </row>
    <row r="17" spans="1:85" ht="12" customHeight="1">
      <c r="A17" s="149">
        <v>7</v>
      </c>
      <c r="B17" s="150" t="s">
        <v>318</v>
      </c>
      <c r="C17" s="150" t="s">
        <v>315</v>
      </c>
      <c r="D17" s="150" t="s">
        <v>387</v>
      </c>
      <c r="E17" s="173">
        <v>2</v>
      </c>
      <c r="F17" s="297"/>
      <c r="G17" s="175">
        <f t="shared" si="2"/>
        <v>2</v>
      </c>
      <c r="H17" s="150"/>
      <c r="I17" s="200"/>
      <c r="J17" s="150"/>
      <c r="K17" s="150"/>
      <c r="L17" s="150"/>
      <c r="M17" s="151"/>
      <c r="N17" s="149"/>
      <c r="O17" s="149"/>
      <c r="P17" s="152"/>
      <c r="Q17" s="151"/>
      <c r="R17" s="149"/>
      <c r="S17" s="149"/>
      <c r="T17" s="152"/>
      <c r="U17" s="151"/>
      <c r="V17" s="149"/>
      <c r="W17" s="149"/>
      <c r="X17" s="152"/>
      <c r="Y17" s="151"/>
      <c r="Z17" s="149"/>
      <c r="AA17" s="149"/>
      <c r="AB17" s="152"/>
      <c r="AC17" s="153"/>
      <c r="AD17" s="154" t="str">
        <f t="shared" si="7"/>
        <v/>
      </c>
      <c r="AE17" s="154" t="str">
        <f t="shared" si="7"/>
        <v/>
      </c>
      <c r="AF17" s="154" t="str">
        <f t="shared" si="7"/>
        <v/>
      </c>
      <c r="AG17" s="154" t="str">
        <f t="shared" si="7"/>
        <v/>
      </c>
      <c r="AH17" s="154" t="str">
        <f t="shared" si="7"/>
        <v/>
      </c>
      <c r="AI17" s="154" t="str">
        <f t="shared" si="7"/>
        <v/>
      </c>
      <c r="AJ17" s="154" t="str">
        <f t="shared" si="7"/>
        <v/>
      </c>
      <c r="AK17" s="154" t="str">
        <f t="shared" si="7"/>
        <v/>
      </c>
      <c r="AL17" s="154" t="str">
        <f t="shared" si="7"/>
        <v/>
      </c>
      <c r="AM17" s="154" t="str">
        <f t="shared" si="7"/>
        <v/>
      </c>
      <c r="AN17" s="154" t="str">
        <f t="shared" si="7"/>
        <v/>
      </c>
      <c r="AO17" s="154" t="str">
        <f t="shared" si="7"/>
        <v/>
      </c>
      <c r="AP17" s="154" t="str">
        <f t="shared" si="7"/>
        <v/>
      </c>
      <c r="AQ17" s="154" t="str">
        <f t="shared" si="7"/>
        <v/>
      </c>
      <c r="AR17" s="154" t="str">
        <f t="shared" si="7"/>
        <v/>
      </c>
      <c r="AS17" s="154" t="str">
        <f t="shared" si="7"/>
        <v/>
      </c>
      <c r="AT17" s="154" t="str">
        <f t="shared" si="7"/>
        <v/>
      </c>
      <c r="AU17" s="154" t="str">
        <f t="shared" si="7"/>
        <v/>
      </c>
      <c r="AV17" s="154" t="str">
        <f t="shared" si="7"/>
        <v/>
      </c>
      <c r="AW17" s="154" t="str">
        <f t="shared" si="7"/>
        <v/>
      </c>
      <c r="AX17" s="154" t="str">
        <f t="shared" si="7"/>
        <v/>
      </c>
      <c r="AY17" s="154" t="str">
        <f t="shared" si="7"/>
        <v/>
      </c>
      <c r="AZ17" s="154" t="str">
        <f t="shared" si="7"/>
        <v/>
      </c>
      <c r="BA17" s="154" t="str">
        <f t="shared" si="7"/>
        <v/>
      </c>
      <c r="BB17" s="154" t="str">
        <f t="shared" si="7"/>
        <v/>
      </c>
      <c r="BC17" s="154" t="str">
        <f t="shared" si="7"/>
        <v/>
      </c>
      <c r="BD17" s="154" t="str">
        <f t="shared" si="7"/>
        <v/>
      </c>
      <c r="BE17" s="154" t="str">
        <f t="shared" si="7"/>
        <v/>
      </c>
      <c r="BF17" s="154" t="str">
        <f t="shared" si="7"/>
        <v/>
      </c>
      <c r="BG17" s="154" t="str">
        <f t="shared" si="7"/>
        <v/>
      </c>
      <c r="BH17" s="154" t="str">
        <f t="shared" si="7"/>
        <v/>
      </c>
      <c r="BI17" s="154" t="str">
        <f t="shared" si="7"/>
        <v/>
      </c>
      <c r="BJ17" s="154" t="str">
        <f t="shared" si="7"/>
        <v/>
      </c>
      <c r="BK17" s="154" t="str">
        <f t="shared" si="7"/>
        <v/>
      </c>
      <c r="BL17" s="154" t="str">
        <f t="shared" si="7"/>
        <v/>
      </c>
      <c r="BM17" s="154" t="str">
        <f t="shared" si="7"/>
        <v/>
      </c>
      <c r="BN17" s="154" t="str">
        <f t="shared" si="7"/>
        <v/>
      </c>
      <c r="BO17" s="154" t="str">
        <f t="shared" si="7"/>
        <v/>
      </c>
      <c r="BP17" s="154" t="str">
        <f t="shared" si="7"/>
        <v/>
      </c>
      <c r="BQ17" s="154" t="str">
        <f t="shared" si="7"/>
        <v/>
      </c>
      <c r="BR17" s="154" t="str">
        <f t="shared" si="7"/>
        <v/>
      </c>
      <c r="BS17" s="154" t="str">
        <f t="shared" si="7"/>
        <v/>
      </c>
      <c r="BT17" s="154" t="str">
        <f t="shared" si="7"/>
        <v/>
      </c>
      <c r="BU17" s="154" t="str">
        <f t="shared" si="7"/>
        <v/>
      </c>
      <c r="BV17" s="154" t="str">
        <f t="shared" si="7"/>
        <v/>
      </c>
      <c r="BW17" s="154" t="str">
        <f t="shared" si="7"/>
        <v/>
      </c>
      <c r="BX17" s="154" t="str">
        <f t="shared" si="7"/>
        <v/>
      </c>
      <c r="BY17" s="154" t="str">
        <f t="shared" si="7"/>
        <v/>
      </c>
      <c r="BZ17" s="154" t="str">
        <f t="shared" si="7"/>
        <v/>
      </c>
      <c r="CA17" s="154" t="str">
        <f t="shared" si="7"/>
        <v/>
      </c>
      <c r="CB17" s="154" t="str">
        <f t="shared" si="7"/>
        <v/>
      </c>
      <c r="CC17" s="154" t="str">
        <f t="shared" si="7"/>
        <v/>
      </c>
      <c r="CD17" s="154" t="str">
        <f t="shared" si="7"/>
        <v/>
      </c>
      <c r="CE17" s="154" t="str">
        <f t="shared" si="7"/>
        <v/>
      </c>
      <c r="CF17" s="155">
        <f t="shared" si="4"/>
        <v>0</v>
      </c>
      <c r="CG17" s="156">
        <f t="shared" si="5"/>
        <v>0</v>
      </c>
    </row>
    <row r="18" spans="1:85" ht="12" customHeight="1">
      <c r="A18" s="149">
        <v>8</v>
      </c>
      <c r="B18" s="150" t="s">
        <v>319</v>
      </c>
      <c r="C18" s="150" t="s">
        <v>301</v>
      </c>
      <c r="D18" s="150" t="s">
        <v>387</v>
      </c>
      <c r="E18" s="173">
        <v>2</v>
      </c>
      <c r="F18" s="297"/>
      <c r="G18" s="175">
        <f t="shared" si="2"/>
        <v>2</v>
      </c>
      <c r="H18" s="150"/>
      <c r="I18" s="200"/>
      <c r="J18" s="150"/>
      <c r="K18" s="150"/>
      <c r="L18" s="150"/>
      <c r="M18" s="151"/>
      <c r="N18" s="149"/>
      <c r="O18" s="149"/>
      <c r="P18" s="152"/>
      <c r="Q18" s="151"/>
      <c r="R18" s="149"/>
      <c r="S18" s="149"/>
      <c r="T18" s="152"/>
      <c r="U18" s="151"/>
      <c r="V18" s="149"/>
      <c r="W18" s="149"/>
      <c r="X18" s="152"/>
      <c r="Y18" s="151"/>
      <c r="Z18" s="149"/>
      <c r="AA18" s="149"/>
      <c r="AB18" s="152"/>
      <c r="AC18" s="153"/>
      <c r="AD18" s="154" t="str">
        <f t="shared" si="7"/>
        <v/>
      </c>
      <c r="AE18" s="154" t="str">
        <f t="shared" si="7"/>
        <v/>
      </c>
      <c r="AF18" s="154" t="str">
        <f t="shared" si="7"/>
        <v/>
      </c>
      <c r="AG18" s="154" t="str">
        <f t="shared" si="7"/>
        <v/>
      </c>
      <c r="AH18" s="154" t="str">
        <f t="shared" si="7"/>
        <v/>
      </c>
      <c r="AI18" s="154" t="str">
        <f t="shared" si="7"/>
        <v/>
      </c>
      <c r="AJ18" s="154" t="str">
        <f t="shared" si="7"/>
        <v/>
      </c>
      <c r="AK18" s="154" t="str">
        <f t="shared" si="7"/>
        <v/>
      </c>
      <c r="AL18" s="154" t="str">
        <f t="shared" si="7"/>
        <v/>
      </c>
      <c r="AM18" s="154" t="str">
        <f t="shared" si="7"/>
        <v/>
      </c>
      <c r="AN18" s="154" t="str">
        <f t="shared" si="7"/>
        <v/>
      </c>
      <c r="AO18" s="154" t="str">
        <f t="shared" si="7"/>
        <v/>
      </c>
      <c r="AP18" s="154" t="str">
        <f t="shared" si="7"/>
        <v/>
      </c>
      <c r="AQ18" s="154" t="str">
        <f t="shared" si="7"/>
        <v/>
      </c>
      <c r="AR18" s="154" t="str">
        <f t="shared" si="7"/>
        <v/>
      </c>
      <c r="AS18" s="154" t="str">
        <f t="shared" si="7"/>
        <v/>
      </c>
      <c r="AT18" s="154" t="str">
        <f t="shared" si="7"/>
        <v/>
      </c>
      <c r="AU18" s="154" t="str">
        <f t="shared" si="7"/>
        <v/>
      </c>
      <c r="AV18" s="154" t="str">
        <f t="shared" si="7"/>
        <v/>
      </c>
      <c r="AW18" s="154" t="str">
        <f t="shared" si="7"/>
        <v/>
      </c>
      <c r="AX18" s="154" t="str">
        <f t="shared" si="7"/>
        <v/>
      </c>
      <c r="AY18" s="154" t="str">
        <f t="shared" si="7"/>
        <v/>
      </c>
      <c r="AZ18" s="154" t="str">
        <f t="shared" si="7"/>
        <v/>
      </c>
      <c r="BA18" s="154" t="str">
        <f t="shared" si="7"/>
        <v/>
      </c>
      <c r="BB18" s="154" t="str">
        <f t="shared" si="7"/>
        <v/>
      </c>
      <c r="BC18" s="154" t="str">
        <f t="shared" si="7"/>
        <v/>
      </c>
      <c r="BD18" s="154" t="str">
        <f t="shared" si="7"/>
        <v/>
      </c>
      <c r="BE18" s="154" t="str">
        <f t="shared" si="7"/>
        <v/>
      </c>
      <c r="BF18" s="154" t="str">
        <f t="shared" si="7"/>
        <v/>
      </c>
      <c r="BG18" s="154" t="str">
        <f t="shared" si="7"/>
        <v/>
      </c>
      <c r="BH18" s="154" t="str">
        <f t="shared" si="7"/>
        <v/>
      </c>
      <c r="BI18" s="154" t="str">
        <f t="shared" si="7"/>
        <v/>
      </c>
      <c r="BJ18" s="154" t="str">
        <f t="shared" si="7"/>
        <v/>
      </c>
      <c r="BK18" s="154" t="str">
        <f t="shared" si="7"/>
        <v/>
      </c>
      <c r="BL18" s="154" t="str">
        <f t="shared" si="7"/>
        <v/>
      </c>
      <c r="BM18" s="154" t="str">
        <f t="shared" si="7"/>
        <v/>
      </c>
      <c r="BN18" s="154" t="str">
        <f t="shared" si="7"/>
        <v/>
      </c>
      <c r="BO18" s="154" t="str">
        <f t="shared" si="7"/>
        <v/>
      </c>
      <c r="BP18" s="154" t="str">
        <f t="shared" si="7"/>
        <v/>
      </c>
      <c r="BQ18" s="154" t="str">
        <f t="shared" si="7"/>
        <v/>
      </c>
      <c r="BR18" s="154" t="str">
        <f t="shared" si="7"/>
        <v/>
      </c>
      <c r="BS18" s="154" t="str">
        <f t="shared" si="7"/>
        <v/>
      </c>
      <c r="BT18" s="154" t="str">
        <f t="shared" si="7"/>
        <v/>
      </c>
      <c r="BU18" s="154" t="str">
        <f t="shared" si="7"/>
        <v/>
      </c>
      <c r="BV18" s="154" t="str">
        <f t="shared" si="7"/>
        <v/>
      </c>
      <c r="BW18" s="154" t="str">
        <f t="shared" si="7"/>
        <v/>
      </c>
      <c r="BX18" s="154" t="str">
        <f t="shared" si="7"/>
        <v/>
      </c>
      <c r="BY18" s="154" t="str">
        <f t="shared" si="7"/>
        <v/>
      </c>
      <c r="BZ18" s="154" t="str">
        <f t="shared" si="7"/>
        <v/>
      </c>
      <c r="CA18" s="154" t="str">
        <f t="shared" si="7"/>
        <v/>
      </c>
      <c r="CB18" s="154" t="str">
        <f t="shared" si="7"/>
        <v/>
      </c>
      <c r="CC18" s="154" t="str">
        <f t="shared" si="7"/>
        <v/>
      </c>
      <c r="CD18" s="154" t="str">
        <f t="shared" si="7"/>
        <v/>
      </c>
      <c r="CE18" s="154" t="str">
        <f t="shared" si="7"/>
        <v/>
      </c>
      <c r="CF18" s="155">
        <f t="shared" si="4"/>
        <v>0</v>
      </c>
      <c r="CG18" s="156">
        <f t="shared" si="5"/>
        <v>0</v>
      </c>
    </row>
    <row r="19" spans="1:85" ht="12" customHeight="1">
      <c r="A19" s="149">
        <v>9</v>
      </c>
      <c r="B19" s="150" t="s">
        <v>320</v>
      </c>
      <c r="C19" s="150" t="s">
        <v>301</v>
      </c>
      <c r="D19" s="150" t="s">
        <v>387</v>
      </c>
      <c r="E19" s="173">
        <v>1</v>
      </c>
      <c r="F19" s="297"/>
      <c r="G19" s="175">
        <f t="shared" si="2"/>
        <v>1</v>
      </c>
      <c r="H19" s="150"/>
      <c r="I19" s="200"/>
      <c r="J19" s="150"/>
      <c r="K19" s="150"/>
      <c r="L19" s="150"/>
      <c r="M19" s="151"/>
      <c r="N19" s="149"/>
      <c r="O19" s="149"/>
      <c r="P19" s="152"/>
      <c r="Q19" s="151"/>
      <c r="R19" s="149"/>
      <c r="S19" s="149"/>
      <c r="T19" s="152"/>
      <c r="U19" s="151"/>
      <c r="V19" s="149"/>
      <c r="W19" s="149"/>
      <c r="X19" s="152"/>
      <c r="Y19" s="151"/>
      <c r="Z19" s="149"/>
      <c r="AA19" s="149"/>
      <c r="AB19" s="152"/>
      <c r="AC19" s="153"/>
      <c r="AD19" s="154" t="str">
        <f t="shared" si="7"/>
        <v/>
      </c>
      <c r="AE19" s="154" t="str">
        <f t="shared" si="7"/>
        <v/>
      </c>
      <c r="AF19" s="154" t="str">
        <f t="shared" si="7"/>
        <v/>
      </c>
      <c r="AG19" s="154" t="str">
        <f t="shared" si="7"/>
        <v/>
      </c>
      <c r="AH19" s="154" t="str">
        <f t="shared" si="7"/>
        <v/>
      </c>
      <c r="AI19" s="154" t="str">
        <f t="shared" si="7"/>
        <v/>
      </c>
      <c r="AJ19" s="154" t="str">
        <f t="shared" si="7"/>
        <v/>
      </c>
      <c r="AK19" s="154" t="str">
        <f t="shared" si="7"/>
        <v/>
      </c>
      <c r="AL19" s="154" t="str">
        <f t="shared" si="7"/>
        <v/>
      </c>
      <c r="AM19" s="154" t="str">
        <f t="shared" si="7"/>
        <v/>
      </c>
      <c r="AN19" s="154" t="str">
        <f t="shared" si="7"/>
        <v/>
      </c>
      <c r="AO19" s="154" t="str">
        <f t="shared" si="7"/>
        <v/>
      </c>
      <c r="AP19" s="154" t="str">
        <f t="shared" si="7"/>
        <v/>
      </c>
      <c r="AQ19" s="154" t="str">
        <f t="shared" si="7"/>
        <v/>
      </c>
      <c r="AR19" s="154" t="str">
        <f t="shared" si="7"/>
        <v/>
      </c>
      <c r="AS19" s="154" t="str">
        <f t="shared" si="7"/>
        <v/>
      </c>
      <c r="AT19" s="154" t="str">
        <f t="shared" si="7"/>
        <v/>
      </c>
      <c r="AU19" s="154" t="str">
        <f t="shared" si="7"/>
        <v/>
      </c>
      <c r="AV19" s="154" t="str">
        <f t="shared" si="7"/>
        <v/>
      </c>
      <c r="AW19" s="154" t="str">
        <f t="shared" si="7"/>
        <v/>
      </c>
      <c r="AX19" s="154" t="str">
        <f t="shared" si="7"/>
        <v/>
      </c>
      <c r="AY19" s="154" t="str">
        <f t="shared" si="7"/>
        <v/>
      </c>
      <c r="AZ19" s="154" t="str">
        <f t="shared" si="7"/>
        <v/>
      </c>
      <c r="BA19" s="154" t="str">
        <f t="shared" si="7"/>
        <v/>
      </c>
      <c r="BB19" s="154" t="str">
        <f t="shared" si="7"/>
        <v/>
      </c>
      <c r="BC19" s="154" t="str">
        <f t="shared" si="7"/>
        <v/>
      </c>
      <c r="BD19" s="154" t="str">
        <f t="shared" si="7"/>
        <v/>
      </c>
      <c r="BE19" s="154" t="str">
        <f t="shared" si="7"/>
        <v/>
      </c>
      <c r="BF19" s="154" t="str">
        <f t="shared" si="7"/>
        <v/>
      </c>
      <c r="BG19" s="154" t="str">
        <f t="shared" si="7"/>
        <v/>
      </c>
      <c r="BH19" s="154" t="str">
        <f t="shared" si="7"/>
        <v/>
      </c>
      <c r="BI19" s="154" t="str">
        <f t="shared" si="7"/>
        <v/>
      </c>
      <c r="BJ19" s="154" t="str">
        <f t="shared" si="7"/>
        <v/>
      </c>
      <c r="BK19" s="154" t="str">
        <f t="shared" si="7"/>
        <v/>
      </c>
      <c r="BL19" s="154" t="str">
        <f t="shared" si="7"/>
        <v/>
      </c>
      <c r="BM19" s="154" t="str">
        <f t="shared" si="7"/>
        <v/>
      </c>
      <c r="BN19" s="154" t="str">
        <f t="shared" si="7"/>
        <v/>
      </c>
      <c r="BO19" s="154" t="str">
        <f t="shared" si="7"/>
        <v/>
      </c>
      <c r="BP19" s="154" t="str">
        <f t="shared" si="7"/>
        <v/>
      </c>
      <c r="BQ19" s="154" t="str">
        <f t="shared" si="7"/>
        <v/>
      </c>
      <c r="BR19" s="154" t="str">
        <f t="shared" si="7"/>
        <v/>
      </c>
      <c r="BS19" s="154" t="str">
        <f t="shared" si="7"/>
        <v/>
      </c>
      <c r="BT19" s="154" t="str">
        <f t="shared" si="7"/>
        <v/>
      </c>
      <c r="BU19" s="154" t="str">
        <f t="shared" si="7"/>
        <v/>
      </c>
      <c r="BV19" s="154" t="str">
        <f t="shared" si="7"/>
        <v/>
      </c>
      <c r="BW19" s="154" t="str">
        <f t="shared" si="7"/>
        <v/>
      </c>
      <c r="BX19" s="154" t="str">
        <f t="shared" si="7"/>
        <v/>
      </c>
      <c r="BY19" s="154" t="str">
        <f t="shared" si="7"/>
        <v/>
      </c>
      <c r="BZ19" s="154" t="str">
        <f t="shared" si="7"/>
        <v/>
      </c>
      <c r="CA19" s="154" t="str">
        <f t="shared" si="7"/>
        <v/>
      </c>
      <c r="CB19" s="154" t="str">
        <f t="shared" si="7"/>
        <v/>
      </c>
      <c r="CC19" s="154" t="str">
        <f t="shared" si="7"/>
        <v/>
      </c>
      <c r="CD19" s="154" t="str">
        <f t="shared" si="7"/>
        <v/>
      </c>
      <c r="CE19" s="154" t="str">
        <f t="shared" si="7"/>
        <v/>
      </c>
      <c r="CF19" s="155">
        <f t="shared" si="4"/>
        <v>0</v>
      </c>
      <c r="CG19" s="156">
        <f t="shared" si="5"/>
        <v>0</v>
      </c>
    </row>
    <row r="20" spans="1:85" ht="12" customHeight="1">
      <c r="A20" s="149">
        <v>10</v>
      </c>
      <c r="B20" s="150" t="s">
        <v>321</v>
      </c>
      <c r="C20" s="150" t="s">
        <v>315</v>
      </c>
      <c r="D20" s="150" t="s">
        <v>387</v>
      </c>
      <c r="E20" s="173">
        <v>1</v>
      </c>
      <c r="F20" s="297"/>
      <c r="G20" s="175">
        <f t="shared" si="2"/>
        <v>1</v>
      </c>
      <c r="H20" s="150"/>
      <c r="I20" s="200"/>
      <c r="J20" s="150"/>
      <c r="K20" s="150"/>
      <c r="L20" s="150"/>
      <c r="M20" s="151"/>
      <c r="N20" s="149"/>
      <c r="O20" s="149"/>
      <c r="P20" s="152"/>
      <c r="Q20" s="151"/>
      <c r="R20" s="149"/>
      <c r="S20" s="149"/>
      <c r="T20" s="152"/>
      <c r="U20" s="151"/>
      <c r="V20" s="149"/>
      <c r="W20" s="149"/>
      <c r="X20" s="152"/>
      <c r="Y20" s="151"/>
      <c r="Z20" s="149"/>
      <c r="AA20" s="149"/>
      <c r="AB20" s="152"/>
      <c r="AC20" s="153"/>
      <c r="AD20" s="154" t="str">
        <f t="shared" si="7"/>
        <v/>
      </c>
      <c r="AE20" s="154" t="str">
        <f t="shared" si="7"/>
        <v/>
      </c>
      <c r="AF20" s="154" t="str">
        <f t="shared" si="7"/>
        <v/>
      </c>
      <c r="AG20" s="154" t="str">
        <f t="shared" si="7"/>
        <v/>
      </c>
      <c r="AH20" s="154" t="str">
        <f t="shared" si="7"/>
        <v/>
      </c>
      <c r="AI20" s="154" t="str">
        <f t="shared" si="7"/>
        <v/>
      </c>
      <c r="AJ20" s="154" t="str">
        <f t="shared" si="7"/>
        <v/>
      </c>
      <c r="AK20" s="154" t="str">
        <f t="shared" si="7"/>
        <v/>
      </c>
      <c r="AL20" s="154" t="str">
        <f t="shared" si="7"/>
        <v/>
      </c>
      <c r="AM20" s="154" t="str">
        <f t="shared" si="7"/>
        <v/>
      </c>
      <c r="AN20" s="154" t="str">
        <f t="shared" si="7"/>
        <v/>
      </c>
      <c r="AO20" s="154" t="str">
        <f t="shared" si="7"/>
        <v/>
      </c>
      <c r="AP20" s="154" t="str">
        <f t="shared" si="7"/>
        <v/>
      </c>
      <c r="AQ20" s="154" t="str">
        <f t="shared" si="7"/>
        <v/>
      </c>
      <c r="AR20" s="154" t="str">
        <f t="shared" si="7"/>
        <v/>
      </c>
      <c r="AS20" s="154" t="str">
        <f t="shared" si="7"/>
        <v/>
      </c>
      <c r="AT20" s="154" t="str">
        <f t="shared" si="7"/>
        <v/>
      </c>
      <c r="AU20" s="154" t="str">
        <f t="shared" si="7"/>
        <v/>
      </c>
      <c r="AV20" s="154" t="str">
        <f t="shared" si="7"/>
        <v/>
      </c>
      <c r="AW20" s="154" t="str">
        <f t="shared" si="7"/>
        <v/>
      </c>
      <c r="AX20" s="154" t="str">
        <f t="shared" si="7"/>
        <v/>
      </c>
      <c r="AY20" s="154" t="str">
        <f t="shared" si="7"/>
        <v/>
      </c>
      <c r="AZ20" s="154" t="str">
        <f t="shared" si="7"/>
        <v/>
      </c>
      <c r="BA20" s="154" t="str">
        <f t="shared" si="7"/>
        <v/>
      </c>
      <c r="BB20" s="154" t="str">
        <f t="shared" si="7"/>
        <v/>
      </c>
      <c r="BC20" s="154" t="str">
        <f t="shared" si="7"/>
        <v/>
      </c>
      <c r="BD20" s="154" t="str">
        <f t="shared" si="7"/>
        <v/>
      </c>
      <c r="BE20" s="154" t="str">
        <f t="shared" si="7"/>
        <v/>
      </c>
      <c r="BF20" s="154" t="str">
        <f t="shared" si="7"/>
        <v/>
      </c>
      <c r="BG20" s="154" t="str">
        <f t="shared" si="7"/>
        <v/>
      </c>
      <c r="BH20" s="154" t="str">
        <f t="shared" si="7"/>
        <v/>
      </c>
      <c r="BI20" s="154" t="str">
        <f t="shared" si="7"/>
        <v/>
      </c>
      <c r="BJ20" s="154" t="str">
        <f t="shared" si="7"/>
        <v/>
      </c>
      <c r="BK20" s="154" t="str">
        <f t="shared" si="7"/>
        <v/>
      </c>
      <c r="BL20" s="154" t="str">
        <f t="shared" si="7"/>
        <v/>
      </c>
      <c r="BM20" s="154" t="str">
        <f t="shared" si="7"/>
        <v/>
      </c>
      <c r="BN20" s="154" t="str">
        <f t="shared" si="7"/>
        <v/>
      </c>
      <c r="BO20" s="154" t="str">
        <f t="shared" si="7"/>
        <v/>
      </c>
      <c r="BP20" s="154" t="str">
        <f t="shared" si="7"/>
        <v/>
      </c>
      <c r="BQ20" s="154" t="str">
        <f t="shared" ref="BQ20:CE20" si="8">IF(BQ$9=$M20,$P20,IF(BQ$9=$Q20,$T20,IF(BQ$9=$U20,$X20,IF(BQ$9=$Y20,$AB20,IF(BQ$9=$L20,"ПС",IF(BQ$9=$I20,"КС",IF(AND(BQ$9&lt;$I20,BQ$9&gt;$L20),"--","")))))))</f>
        <v/>
      </c>
      <c r="BR20" s="154" t="str">
        <f t="shared" si="8"/>
        <v/>
      </c>
      <c r="BS20" s="154" t="str">
        <f t="shared" si="8"/>
        <v/>
      </c>
      <c r="BT20" s="154" t="str">
        <f t="shared" si="8"/>
        <v/>
      </c>
      <c r="BU20" s="154" t="str">
        <f t="shared" si="8"/>
        <v/>
      </c>
      <c r="BV20" s="154" t="str">
        <f t="shared" si="8"/>
        <v/>
      </c>
      <c r="BW20" s="154" t="str">
        <f t="shared" si="8"/>
        <v/>
      </c>
      <c r="BX20" s="154" t="str">
        <f t="shared" si="8"/>
        <v/>
      </c>
      <c r="BY20" s="154" t="str">
        <f t="shared" si="8"/>
        <v/>
      </c>
      <c r="BZ20" s="154" t="str">
        <f t="shared" si="8"/>
        <v/>
      </c>
      <c r="CA20" s="154" t="str">
        <f t="shared" si="8"/>
        <v/>
      </c>
      <c r="CB20" s="154" t="str">
        <f t="shared" si="8"/>
        <v/>
      </c>
      <c r="CC20" s="154" t="str">
        <f t="shared" si="8"/>
        <v/>
      </c>
      <c r="CD20" s="154" t="str">
        <f t="shared" si="8"/>
        <v/>
      </c>
      <c r="CE20" s="154" t="str">
        <f t="shared" si="8"/>
        <v/>
      </c>
      <c r="CF20" s="155">
        <f t="shared" si="4"/>
        <v>0</v>
      </c>
      <c r="CG20" s="156">
        <f t="shared" si="5"/>
        <v>0</v>
      </c>
    </row>
    <row r="21" spans="1:85" ht="12" customHeight="1">
      <c r="A21" s="149">
        <v>11</v>
      </c>
      <c r="B21" s="150" t="s">
        <v>322</v>
      </c>
      <c r="C21" s="150" t="s">
        <v>323</v>
      </c>
      <c r="D21" s="150" t="s">
        <v>387</v>
      </c>
      <c r="E21" s="173">
        <v>3</v>
      </c>
      <c r="F21" s="297"/>
      <c r="G21" s="175">
        <f t="shared" si="2"/>
        <v>3</v>
      </c>
      <c r="H21" s="150"/>
      <c r="I21" s="200"/>
      <c r="J21" s="150"/>
      <c r="K21" s="150"/>
      <c r="L21" s="150"/>
      <c r="M21" s="151"/>
      <c r="N21" s="149"/>
      <c r="O21" s="149"/>
      <c r="P21" s="152"/>
      <c r="Q21" s="151"/>
      <c r="R21" s="149"/>
      <c r="S21" s="149"/>
      <c r="T21" s="152"/>
      <c r="U21" s="151"/>
      <c r="V21" s="149"/>
      <c r="W21" s="149"/>
      <c r="X21" s="152"/>
      <c r="Y21" s="151"/>
      <c r="Z21" s="149"/>
      <c r="AA21" s="149"/>
      <c r="AB21" s="152"/>
      <c r="AC21" s="153"/>
      <c r="AD21" s="154" t="str">
        <f t="shared" ref="AD21:CE25" si="9">IF(AD$9=$M21,$P21,IF(AD$9=$Q21,$T21,IF(AD$9=$U21,$X21,IF(AD$9=$Y21,$AB21,IF(AD$9=$L21,"ПС",IF(AD$9=$I21,"КС",IF(AND(AD$9&lt;$I21,AD$9&gt;$L21),"--","")))))))</f>
        <v/>
      </c>
      <c r="AE21" s="154" t="str">
        <f t="shared" si="9"/>
        <v/>
      </c>
      <c r="AF21" s="154" t="str">
        <f t="shared" si="9"/>
        <v/>
      </c>
      <c r="AG21" s="154" t="str">
        <f t="shared" si="9"/>
        <v/>
      </c>
      <c r="AH21" s="154" t="str">
        <f t="shared" si="9"/>
        <v/>
      </c>
      <c r="AI21" s="154" t="str">
        <f t="shared" si="9"/>
        <v/>
      </c>
      <c r="AJ21" s="154" t="str">
        <f t="shared" si="9"/>
        <v/>
      </c>
      <c r="AK21" s="154" t="str">
        <f t="shared" si="9"/>
        <v/>
      </c>
      <c r="AL21" s="154" t="str">
        <f t="shared" si="9"/>
        <v/>
      </c>
      <c r="AM21" s="154" t="str">
        <f t="shared" si="9"/>
        <v/>
      </c>
      <c r="AN21" s="154" t="str">
        <f t="shared" si="9"/>
        <v/>
      </c>
      <c r="AO21" s="154" t="str">
        <f t="shared" si="9"/>
        <v/>
      </c>
      <c r="AP21" s="154" t="str">
        <f t="shared" si="9"/>
        <v/>
      </c>
      <c r="AQ21" s="154" t="str">
        <f t="shared" si="9"/>
        <v/>
      </c>
      <c r="AR21" s="154" t="str">
        <f t="shared" si="9"/>
        <v/>
      </c>
      <c r="AS21" s="154" t="str">
        <f t="shared" si="9"/>
        <v/>
      </c>
      <c r="AT21" s="154" t="str">
        <f t="shared" si="9"/>
        <v/>
      </c>
      <c r="AU21" s="154" t="str">
        <f t="shared" si="9"/>
        <v/>
      </c>
      <c r="AV21" s="154" t="str">
        <f t="shared" si="9"/>
        <v/>
      </c>
      <c r="AW21" s="154" t="str">
        <f t="shared" si="9"/>
        <v/>
      </c>
      <c r="AX21" s="154" t="str">
        <f t="shared" si="9"/>
        <v/>
      </c>
      <c r="AY21" s="154" t="str">
        <f t="shared" si="9"/>
        <v/>
      </c>
      <c r="AZ21" s="154" t="str">
        <f t="shared" si="9"/>
        <v/>
      </c>
      <c r="BA21" s="154" t="str">
        <f t="shared" si="9"/>
        <v/>
      </c>
      <c r="BB21" s="154" t="str">
        <f t="shared" si="9"/>
        <v/>
      </c>
      <c r="BC21" s="154" t="str">
        <f t="shared" si="9"/>
        <v/>
      </c>
      <c r="BD21" s="154" t="str">
        <f t="shared" si="9"/>
        <v/>
      </c>
      <c r="BE21" s="154" t="str">
        <f t="shared" si="9"/>
        <v/>
      </c>
      <c r="BF21" s="154" t="str">
        <f t="shared" si="9"/>
        <v/>
      </c>
      <c r="BG21" s="154" t="str">
        <f t="shared" si="9"/>
        <v/>
      </c>
      <c r="BH21" s="154" t="str">
        <f t="shared" si="9"/>
        <v/>
      </c>
      <c r="BI21" s="154" t="str">
        <f t="shared" si="9"/>
        <v/>
      </c>
      <c r="BJ21" s="154" t="str">
        <f t="shared" si="9"/>
        <v/>
      </c>
      <c r="BK21" s="154" t="str">
        <f t="shared" si="9"/>
        <v/>
      </c>
      <c r="BL21" s="154" t="str">
        <f t="shared" si="9"/>
        <v/>
      </c>
      <c r="BM21" s="154" t="str">
        <f t="shared" si="9"/>
        <v/>
      </c>
      <c r="BN21" s="154" t="str">
        <f t="shared" si="9"/>
        <v/>
      </c>
      <c r="BO21" s="154" t="str">
        <f t="shared" si="9"/>
        <v/>
      </c>
      <c r="BP21" s="154" t="str">
        <f t="shared" si="9"/>
        <v/>
      </c>
      <c r="BQ21" s="154" t="str">
        <f t="shared" si="9"/>
        <v/>
      </c>
      <c r="BR21" s="154" t="str">
        <f t="shared" si="9"/>
        <v/>
      </c>
      <c r="BS21" s="154" t="str">
        <f t="shared" si="9"/>
        <v/>
      </c>
      <c r="BT21" s="154" t="str">
        <f t="shared" si="9"/>
        <v/>
      </c>
      <c r="BU21" s="154" t="str">
        <f t="shared" si="9"/>
        <v/>
      </c>
      <c r="BV21" s="154" t="str">
        <f t="shared" si="9"/>
        <v/>
      </c>
      <c r="BW21" s="154" t="str">
        <f t="shared" si="9"/>
        <v/>
      </c>
      <c r="BX21" s="154" t="str">
        <f t="shared" si="9"/>
        <v/>
      </c>
      <c r="BY21" s="154" t="str">
        <f t="shared" si="9"/>
        <v/>
      </c>
      <c r="BZ21" s="154" t="str">
        <f t="shared" si="9"/>
        <v/>
      </c>
      <c r="CA21" s="154" t="str">
        <f t="shared" si="9"/>
        <v/>
      </c>
      <c r="CB21" s="154" t="str">
        <f t="shared" si="9"/>
        <v/>
      </c>
      <c r="CC21" s="154" t="str">
        <f t="shared" si="9"/>
        <v/>
      </c>
      <c r="CD21" s="154" t="str">
        <f t="shared" si="9"/>
        <v/>
      </c>
      <c r="CE21" s="154" t="str">
        <f t="shared" si="9"/>
        <v/>
      </c>
      <c r="CF21" s="155">
        <f t="shared" si="4"/>
        <v>0</v>
      </c>
      <c r="CG21" s="156">
        <f t="shared" si="5"/>
        <v>0</v>
      </c>
    </row>
    <row r="22" spans="1:85" ht="12" customHeight="1">
      <c r="A22" s="149">
        <v>12</v>
      </c>
      <c r="B22" s="150" t="s">
        <v>324</v>
      </c>
      <c r="C22" s="150" t="s">
        <v>301</v>
      </c>
      <c r="D22" s="150" t="s">
        <v>387</v>
      </c>
      <c r="E22" s="173">
        <v>1</v>
      </c>
      <c r="F22" s="297"/>
      <c r="G22" s="175">
        <f t="shared" si="2"/>
        <v>1</v>
      </c>
      <c r="H22" s="150"/>
      <c r="I22" s="200"/>
      <c r="J22" s="150"/>
      <c r="K22" s="150"/>
      <c r="L22" s="150"/>
      <c r="M22" s="151"/>
      <c r="N22" s="149"/>
      <c r="O22" s="149"/>
      <c r="P22" s="152"/>
      <c r="Q22" s="151"/>
      <c r="R22" s="149"/>
      <c r="S22" s="149"/>
      <c r="T22" s="152"/>
      <c r="U22" s="151"/>
      <c r="V22" s="149"/>
      <c r="W22" s="149"/>
      <c r="X22" s="152"/>
      <c r="Y22" s="151"/>
      <c r="Z22" s="149"/>
      <c r="AA22" s="149"/>
      <c r="AB22" s="152"/>
      <c r="AC22" s="153"/>
      <c r="AD22" s="154" t="str">
        <f t="shared" si="9"/>
        <v/>
      </c>
      <c r="AE22" s="154" t="str">
        <f t="shared" si="9"/>
        <v/>
      </c>
      <c r="AF22" s="154" t="str">
        <f t="shared" si="9"/>
        <v/>
      </c>
      <c r="AG22" s="154" t="str">
        <f t="shared" si="9"/>
        <v/>
      </c>
      <c r="AH22" s="154" t="str">
        <f t="shared" si="9"/>
        <v/>
      </c>
      <c r="AI22" s="154" t="str">
        <f t="shared" si="9"/>
        <v/>
      </c>
      <c r="AJ22" s="154" t="str">
        <f t="shared" si="9"/>
        <v/>
      </c>
      <c r="AK22" s="154" t="str">
        <f t="shared" si="9"/>
        <v/>
      </c>
      <c r="AL22" s="154" t="str">
        <f t="shared" si="9"/>
        <v/>
      </c>
      <c r="AM22" s="154" t="str">
        <f t="shared" si="9"/>
        <v/>
      </c>
      <c r="AN22" s="154" t="str">
        <f t="shared" si="9"/>
        <v/>
      </c>
      <c r="AO22" s="154" t="str">
        <f t="shared" si="9"/>
        <v/>
      </c>
      <c r="AP22" s="154" t="str">
        <f t="shared" si="9"/>
        <v/>
      </c>
      <c r="AQ22" s="154" t="str">
        <f t="shared" si="9"/>
        <v/>
      </c>
      <c r="AR22" s="154" t="str">
        <f t="shared" si="9"/>
        <v/>
      </c>
      <c r="AS22" s="154" t="str">
        <f t="shared" si="9"/>
        <v/>
      </c>
      <c r="AT22" s="154" t="str">
        <f t="shared" si="9"/>
        <v/>
      </c>
      <c r="AU22" s="154" t="str">
        <f t="shared" si="9"/>
        <v/>
      </c>
      <c r="AV22" s="154" t="str">
        <f t="shared" si="9"/>
        <v/>
      </c>
      <c r="AW22" s="154" t="str">
        <f t="shared" si="9"/>
        <v/>
      </c>
      <c r="AX22" s="154" t="str">
        <f t="shared" si="9"/>
        <v/>
      </c>
      <c r="AY22" s="154" t="str">
        <f t="shared" si="9"/>
        <v/>
      </c>
      <c r="AZ22" s="154" t="str">
        <f t="shared" si="9"/>
        <v/>
      </c>
      <c r="BA22" s="154" t="str">
        <f t="shared" si="9"/>
        <v/>
      </c>
      <c r="BB22" s="154" t="str">
        <f t="shared" si="9"/>
        <v/>
      </c>
      <c r="BC22" s="154" t="str">
        <f t="shared" si="9"/>
        <v/>
      </c>
      <c r="BD22" s="154" t="str">
        <f t="shared" si="9"/>
        <v/>
      </c>
      <c r="BE22" s="154" t="str">
        <f t="shared" si="9"/>
        <v/>
      </c>
      <c r="BF22" s="154" t="str">
        <f t="shared" si="9"/>
        <v/>
      </c>
      <c r="BG22" s="154" t="str">
        <f t="shared" si="9"/>
        <v/>
      </c>
      <c r="BH22" s="154" t="str">
        <f t="shared" si="9"/>
        <v/>
      </c>
      <c r="BI22" s="154" t="str">
        <f t="shared" si="9"/>
        <v/>
      </c>
      <c r="BJ22" s="154" t="str">
        <f t="shared" si="9"/>
        <v/>
      </c>
      <c r="BK22" s="154" t="str">
        <f t="shared" si="9"/>
        <v/>
      </c>
      <c r="BL22" s="154" t="str">
        <f t="shared" si="9"/>
        <v/>
      </c>
      <c r="BM22" s="154" t="str">
        <f t="shared" si="9"/>
        <v/>
      </c>
      <c r="BN22" s="154" t="str">
        <f t="shared" si="9"/>
        <v/>
      </c>
      <c r="BO22" s="154" t="str">
        <f t="shared" si="9"/>
        <v/>
      </c>
      <c r="BP22" s="154" t="str">
        <f t="shared" si="9"/>
        <v/>
      </c>
      <c r="BQ22" s="154" t="str">
        <f t="shared" si="9"/>
        <v/>
      </c>
      <c r="BR22" s="154" t="str">
        <f t="shared" si="9"/>
        <v/>
      </c>
      <c r="BS22" s="154" t="str">
        <f t="shared" si="9"/>
        <v/>
      </c>
      <c r="BT22" s="154" t="str">
        <f t="shared" si="9"/>
        <v/>
      </c>
      <c r="BU22" s="154" t="str">
        <f t="shared" si="9"/>
        <v/>
      </c>
      <c r="BV22" s="154" t="str">
        <f t="shared" si="9"/>
        <v/>
      </c>
      <c r="BW22" s="154" t="str">
        <f t="shared" si="9"/>
        <v/>
      </c>
      <c r="BX22" s="154" t="str">
        <f t="shared" si="9"/>
        <v/>
      </c>
      <c r="BY22" s="154" t="str">
        <f t="shared" si="9"/>
        <v/>
      </c>
      <c r="BZ22" s="154" t="str">
        <f t="shared" si="9"/>
        <v/>
      </c>
      <c r="CA22" s="154" t="str">
        <f t="shared" si="9"/>
        <v/>
      </c>
      <c r="CB22" s="154" t="str">
        <f t="shared" si="9"/>
        <v/>
      </c>
      <c r="CC22" s="154" t="str">
        <f t="shared" si="9"/>
        <v/>
      </c>
      <c r="CD22" s="154" t="str">
        <f t="shared" si="9"/>
        <v/>
      </c>
      <c r="CE22" s="154" t="str">
        <f t="shared" si="9"/>
        <v/>
      </c>
      <c r="CF22" s="155">
        <f t="shared" si="4"/>
        <v>0</v>
      </c>
      <c r="CG22" s="156">
        <f t="shared" si="5"/>
        <v>0</v>
      </c>
    </row>
    <row r="23" spans="1:85" ht="12" customHeight="1">
      <c r="A23" s="149">
        <v>13</v>
      </c>
      <c r="B23" s="150" t="s">
        <v>325</v>
      </c>
      <c r="C23" s="150" t="s">
        <v>326</v>
      </c>
      <c r="D23" s="150" t="s">
        <v>387</v>
      </c>
      <c r="E23" s="173">
        <v>2</v>
      </c>
      <c r="F23" s="297"/>
      <c r="G23" s="175">
        <f t="shared" si="2"/>
        <v>2</v>
      </c>
      <c r="H23" s="150"/>
      <c r="I23" s="200"/>
      <c r="J23" s="150"/>
      <c r="K23" s="150"/>
      <c r="L23" s="150"/>
      <c r="M23" s="151"/>
      <c r="N23" s="149"/>
      <c r="O23" s="149"/>
      <c r="P23" s="152"/>
      <c r="Q23" s="151"/>
      <c r="R23" s="149"/>
      <c r="S23" s="149"/>
      <c r="T23" s="152"/>
      <c r="U23" s="151"/>
      <c r="V23" s="149"/>
      <c r="W23" s="149"/>
      <c r="X23" s="152"/>
      <c r="Y23" s="151"/>
      <c r="Z23" s="149"/>
      <c r="AA23" s="149"/>
      <c r="AB23" s="152"/>
      <c r="AC23" s="153"/>
      <c r="AD23" s="154" t="str">
        <f t="shared" si="9"/>
        <v/>
      </c>
      <c r="AE23" s="154" t="str">
        <f t="shared" si="9"/>
        <v/>
      </c>
      <c r="AF23" s="154" t="str">
        <f t="shared" si="9"/>
        <v/>
      </c>
      <c r="AG23" s="154" t="str">
        <f t="shared" si="9"/>
        <v/>
      </c>
      <c r="AH23" s="154" t="str">
        <f t="shared" si="9"/>
        <v/>
      </c>
      <c r="AI23" s="154" t="str">
        <f t="shared" si="9"/>
        <v/>
      </c>
      <c r="AJ23" s="154" t="str">
        <f t="shared" si="9"/>
        <v/>
      </c>
      <c r="AK23" s="154" t="str">
        <f t="shared" si="9"/>
        <v/>
      </c>
      <c r="AL23" s="154" t="str">
        <f t="shared" si="9"/>
        <v/>
      </c>
      <c r="AM23" s="154" t="str">
        <f t="shared" si="9"/>
        <v/>
      </c>
      <c r="AN23" s="154" t="str">
        <f t="shared" si="9"/>
        <v/>
      </c>
      <c r="AO23" s="154" t="str">
        <f t="shared" si="9"/>
        <v/>
      </c>
      <c r="AP23" s="154" t="str">
        <f t="shared" si="9"/>
        <v/>
      </c>
      <c r="AQ23" s="154" t="str">
        <f t="shared" si="9"/>
        <v/>
      </c>
      <c r="AR23" s="154" t="str">
        <f t="shared" si="9"/>
        <v/>
      </c>
      <c r="AS23" s="154" t="str">
        <f t="shared" si="9"/>
        <v/>
      </c>
      <c r="AT23" s="154" t="str">
        <f t="shared" si="9"/>
        <v/>
      </c>
      <c r="AU23" s="154" t="str">
        <f t="shared" si="9"/>
        <v/>
      </c>
      <c r="AV23" s="154" t="str">
        <f t="shared" si="9"/>
        <v/>
      </c>
      <c r="AW23" s="154" t="str">
        <f t="shared" si="9"/>
        <v/>
      </c>
      <c r="AX23" s="154" t="str">
        <f t="shared" si="9"/>
        <v/>
      </c>
      <c r="AY23" s="154" t="str">
        <f t="shared" si="9"/>
        <v/>
      </c>
      <c r="AZ23" s="154" t="str">
        <f t="shared" si="9"/>
        <v/>
      </c>
      <c r="BA23" s="154" t="str">
        <f t="shared" si="9"/>
        <v/>
      </c>
      <c r="BB23" s="154" t="str">
        <f t="shared" si="9"/>
        <v/>
      </c>
      <c r="BC23" s="154" t="str">
        <f t="shared" si="9"/>
        <v/>
      </c>
      <c r="BD23" s="154" t="str">
        <f t="shared" si="9"/>
        <v/>
      </c>
      <c r="BE23" s="154" t="str">
        <f t="shared" si="9"/>
        <v/>
      </c>
      <c r="BF23" s="154" t="str">
        <f t="shared" si="9"/>
        <v/>
      </c>
      <c r="BG23" s="154" t="str">
        <f t="shared" si="9"/>
        <v/>
      </c>
      <c r="BH23" s="154" t="str">
        <f t="shared" si="9"/>
        <v/>
      </c>
      <c r="BI23" s="154" t="str">
        <f t="shared" si="9"/>
        <v/>
      </c>
      <c r="BJ23" s="154" t="str">
        <f t="shared" si="9"/>
        <v/>
      </c>
      <c r="BK23" s="154" t="str">
        <f t="shared" si="9"/>
        <v/>
      </c>
      <c r="BL23" s="154" t="str">
        <f t="shared" si="9"/>
        <v/>
      </c>
      <c r="BM23" s="154" t="str">
        <f t="shared" si="9"/>
        <v/>
      </c>
      <c r="BN23" s="154" t="str">
        <f t="shared" si="9"/>
        <v/>
      </c>
      <c r="BO23" s="154" t="str">
        <f t="shared" si="9"/>
        <v/>
      </c>
      <c r="BP23" s="154" t="str">
        <f t="shared" si="9"/>
        <v/>
      </c>
      <c r="BQ23" s="154" t="str">
        <f t="shared" si="9"/>
        <v/>
      </c>
      <c r="BR23" s="154" t="str">
        <f t="shared" si="9"/>
        <v/>
      </c>
      <c r="BS23" s="154" t="str">
        <f t="shared" si="9"/>
        <v/>
      </c>
      <c r="BT23" s="154" t="str">
        <f t="shared" si="9"/>
        <v/>
      </c>
      <c r="BU23" s="154" t="str">
        <f t="shared" si="9"/>
        <v/>
      </c>
      <c r="BV23" s="154" t="str">
        <f t="shared" si="9"/>
        <v/>
      </c>
      <c r="BW23" s="154" t="str">
        <f t="shared" si="9"/>
        <v/>
      </c>
      <c r="BX23" s="154" t="str">
        <f t="shared" si="9"/>
        <v/>
      </c>
      <c r="BY23" s="154" t="str">
        <f t="shared" si="9"/>
        <v/>
      </c>
      <c r="BZ23" s="154" t="str">
        <f t="shared" si="9"/>
        <v/>
      </c>
      <c r="CA23" s="154" t="str">
        <f t="shared" si="9"/>
        <v/>
      </c>
      <c r="CB23" s="154" t="str">
        <f t="shared" si="9"/>
        <v/>
      </c>
      <c r="CC23" s="154" t="str">
        <f t="shared" si="9"/>
        <v/>
      </c>
      <c r="CD23" s="154" t="str">
        <f t="shared" si="9"/>
        <v/>
      </c>
      <c r="CE23" s="154" t="str">
        <f t="shared" si="9"/>
        <v/>
      </c>
      <c r="CF23" s="155">
        <f t="shared" si="4"/>
        <v>0</v>
      </c>
      <c r="CG23" s="156">
        <f t="shared" si="5"/>
        <v>0</v>
      </c>
    </row>
    <row r="24" spans="1:85" ht="12" customHeight="1">
      <c r="A24" s="149">
        <v>14</v>
      </c>
      <c r="B24" s="150" t="s">
        <v>336</v>
      </c>
      <c r="C24" s="150" t="s">
        <v>337</v>
      </c>
      <c r="D24" s="150" t="s">
        <v>387</v>
      </c>
      <c r="E24" s="173">
        <v>2</v>
      </c>
      <c r="F24" s="297"/>
      <c r="G24" s="175">
        <f t="shared" si="2"/>
        <v>2</v>
      </c>
      <c r="H24" s="150"/>
      <c r="I24" s="200"/>
      <c r="J24" s="150"/>
      <c r="K24" s="150"/>
      <c r="L24" s="150"/>
      <c r="M24" s="151"/>
      <c r="N24" s="149"/>
      <c r="O24" s="149"/>
      <c r="P24" s="152"/>
      <c r="Q24" s="151"/>
      <c r="R24" s="149"/>
      <c r="S24" s="149"/>
      <c r="T24" s="152"/>
      <c r="U24" s="151"/>
      <c r="V24" s="149"/>
      <c r="W24" s="149"/>
      <c r="X24" s="152"/>
      <c r="Y24" s="151"/>
      <c r="Z24" s="149"/>
      <c r="AA24" s="149"/>
      <c r="AB24" s="152"/>
      <c r="AC24" s="153"/>
      <c r="AD24" s="154" t="str">
        <f t="shared" si="9"/>
        <v/>
      </c>
      <c r="AE24" s="154" t="str">
        <f t="shared" si="9"/>
        <v/>
      </c>
      <c r="AF24" s="154" t="str">
        <f t="shared" si="9"/>
        <v/>
      </c>
      <c r="AG24" s="154" t="str">
        <f t="shared" si="9"/>
        <v/>
      </c>
      <c r="AH24" s="154" t="str">
        <f t="shared" si="9"/>
        <v/>
      </c>
      <c r="AI24" s="154" t="str">
        <f t="shared" si="9"/>
        <v/>
      </c>
      <c r="AJ24" s="154" t="str">
        <f t="shared" si="9"/>
        <v/>
      </c>
      <c r="AK24" s="154" t="str">
        <f t="shared" si="9"/>
        <v/>
      </c>
      <c r="AL24" s="154" t="str">
        <f t="shared" si="9"/>
        <v/>
      </c>
      <c r="AM24" s="154" t="str">
        <f t="shared" si="9"/>
        <v/>
      </c>
      <c r="AN24" s="154" t="str">
        <f t="shared" si="9"/>
        <v/>
      </c>
      <c r="AO24" s="154" t="str">
        <f t="shared" si="9"/>
        <v/>
      </c>
      <c r="AP24" s="154" t="str">
        <f t="shared" si="9"/>
        <v/>
      </c>
      <c r="AQ24" s="154" t="str">
        <f t="shared" si="9"/>
        <v/>
      </c>
      <c r="AR24" s="154" t="str">
        <f t="shared" si="9"/>
        <v/>
      </c>
      <c r="AS24" s="154" t="str">
        <f t="shared" si="9"/>
        <v/>
      </c>
      <c r="AT24" s="154" t="str">
        <f t="shared" si="9"/>
        <v/>
      </c>
      <c r="AU24" s="154" t="str">
        <f t="shared" si="9"/>
        <v/>
      </c>
      <c r="AV24" s="154" t="str">
        <f t="shared" si="9"/>
        <v/>
      </c>
      <c r="AW24" s="154" t="str">
        <f t="shared" si="9"/>
        <v/>
      </c>
      <c r="AX24" s="154" t="str">
        <f t="shared" si="9"/>
        <v/>
      </c>
      <c r="AY24" s="154" t="str">
        <f t="shared" si="9"/>
        <v/>
      </c>
      <c r="AZ24" s="154" t="str">
        <f t="shared" si="9"/>
        <v/>
      </c>
      <c r="BA24" s="154" t="str">
        <f t="shared" si="9"/>
        <v/>
      </c>
      <c r="BB24" s="154" t="str">
        <f t="shared" si="9"/>
        <v/>
      </c>
      <c r="BC24" s="154" t="str">
        <f t="shared" si="9"/>
        <v/>
      </c>
      <c r="BD24" s="154" t="str">
        <f t="shared" si="9"/>
        <v/>
      </c>
      <c r="BE24" s="154" t="str">
        <f t="shared" si="9"/>
        <v/>
      </c>
      <c r="BF24" s="154" t="str">
        <f t="shared" si="9"/>
        <v/>
      </c>
      <c r="BG24" s="154" t="str">
        <f t="shared" si="9"/>
        <v/>
      </c>
      <c r="BH24" s="154" t="str">
        <f t="shared" si="9"/>
        <v/>
      </c>
      <c r="BI24" s="154" t="str">
        <f t="shared" si="9"/>
        <v/>
      </c>
      <c r="BJ24" s="154" t="str">
        <f t="shared" si="9"/>
        <v/>
      </c>
      <c r="BK24" s="154" t="str">
        <f t="shared" si="9"/>
        <v/>
      </c>
      <c r="BL24" s="154" t="str">
        <f t="shared" si="9"/>
        <v/>
      </c>
      <c r="BM24" s="154" t="str">
        <f t="shared" si="9"/>
        <v/>
      </c>
      <c r="BN24" s="154" t="str">
        <f t="shared" si="9"/>
        <v/>
      </c>
      <c r="BO24" s="154" t="str">
        <f t="shared" si="9"/>
        <v/>
      </c>
      <c r="BP24" s="154" t="str">
        <f t="shared" si="9"/>
        <v/>
      </c>
      <c r="BQ24" s="154" t="str">
        <f t="shared" si="9"/>
        <v/>
      </c>
      <c r="BR24" s="154" t="str">
        <f t="shared" si="9"/>
        <v/>
      </c>
      <c r="BS24" s="154" t="str">
        <f t="shared" si="9"/>
        <v/>
      </c>
      <c r="BT24" s="154" t="str">
        <f t="shared" si="9"/>
        <v/>
      </c>
      <c r="BU24" s="154" t="str">
        <f t="shared" si="9"/>
        <v/>
      </c>
      <c r="BV24" s="154" t="str">
        <f t="shared" si="9"/>
        <v/>
      </c>
      <c r="BW24" s="154" t="str">
        <f t="shared" si="9"/>
        <v/>
      </c>
      <c r="BX24" s="154" t="str">
        <f t="shared" si="9"/>
        <v/>
      </c>
      <c r="BY24" s="154" t="str">
        <f t="shared" si="9"/>
        <v/>
      </c>
      <c r="BZ24" s="154" t="str">
        <f t="shared" si="9"/>
        <v/>
      </c>
      <c r="CA24" s="154" t="str">
        <f t="shared" si="9"/>
        <v/>
      </c>
      <c r="CB24" s="154" t="str">
        <f t="shared" si="9"/>
        <v/>
      </c>
      <c r="CC24" s="154" t="str">
        <f t="shared" si="9"/>
        <v/>
      </c>
      <c r="CD24" s="154" t="str">
        <f t="shared" si="9"/>
        <v/>
      </c>
      <c r="CE24" s="154" t="str">
        <f t="shared" si="9"/>
        <v/>
      </c>
      <c r="CF24" s="155">
        <f t="shared" si="4"/>
        <v>0</v>
      </c>
      <c r="CG24" s="156">
        <f t="shared" si="5"/>
        <v>0</v>
      </c>
    </row>
    <row r="25" spans="1:85" ht="12" customHeight="1">
      <c r="A25" s="149">
        <v>15</v>
      </c>
      <c r="B25" s="150" t="s">
        <v>327</v>
      </c>
      <c r="C25" s="150" t="s">
        <v>301</v>
      </c>
      <c r="D25" s="150" t="s">
        <v>387</v>
      </c>
      <c r="E25" s="173">
        <v>2</v>
      </c>
      <c r="F25" s="297"/>
      <c r="G25" s="175">
        <f t="shared" si="2"/>
        <v>2</v>
      </c>
      <c r="H25" s="150"/>
      <c r="I25" s="200"/>
      <c r="J25" s="150"/>
      <c r="K25" s="150"/>
      <c r="L25" s="150"/>
      <c r="M25" s="151"/>
      <c r="N25" s="149"/>
      <c r="O25" s="149"/>
      <c r="P25" s="152"/>
      <c r="Q25" s="151"/>
      <c r="R25" s="149"/>
      <c r="S25" s="149"/>
      <c r="T25" s="152"/>
      <c r="U25" s="151"/>
      <c r="V25" s="149"/>
      <c r="W25" s="149"/>
      <c r="X25" s="152"/>
      <c r="Y25" s="151"/>
      <c r="Z25" s="149"/>
      <c r="AA25" s="149"/>
      <c r="AB25" s="152"/>
      <c r="AC25" s="153"/>
      <c r="AD25" s="154" t="str">
        <f t="shared" si="9"/>
        <v/>
      </c>
      <c r="AE25" s="154" t="str">
        <f t="shared" si="9"/>
        <v/>
      </c>
      <c r="AF25" s="154" t="str">
        <f t="shared" si="9"/>
        <v/>
      </c>
      <c r="AG25" s="154" t="str">
        <f t="shared" si="9"/>
        <v/>
      </c>
      <c r="AH25" s="154" t="str">
        <f t="shared" si="9"/>
        <v/>
      </c>
      <c r="AI25" s="154" t="str">
        <f t="shared" si="9"/>
        <v/>
      </c>
      <c r="AJ25" s="154" t="str">
        <f t="shared" si="9"/>
        <v/>
      </c>
      <c r="AK25" s="154" t="str">
        <f t="shared" si="9"/>
        <v/>
      </c>
      <c r="AL25" s="154" t="str">
        <f t="shared" si="9"/>
        <v/>
      </c>
      <c r="AM25" s="154" t="str">
        <f t="shared" si="9"/>
        <v/>
      </c>
      <c r="AN25" s="154" t="str">
        <f t="shared" si="9"/>
        <v/>
      </c>
      <c r="AO25" s="154" t="str">
        <f t="shared" si="9"/>
        <v/>
      </c>
      <c r="AP25" s="154" t="str">
        <f t="shared" si="9"/>
        <v/>
      </c>
      <c r="AQ25" s="154" t="str">
        <f t="shared" si="9"/>
        <v/>
      </c>
      <c r="AR25" s="154" t="str">
        <f t="shared" si="9"/>
        <v/>
      </c>
      <c r="AS25" s="154" t="str">
        <f t="shared" si="9"/>
        <v/>
      </c>
      <c r="AT25" s="154" t="str">
        <f t="shared" si="9"/>
        <v/>
      </c>
      <c r="AU25" s="154" t="str">
        <f t="shared" si="9"/>
        <v/>
      </c>
      <c r="AV25" s="154" t="str">
        <f t="shared" si="9"/>
        <v/>
      </c>
      <c r="AW25" s="154" t="str">
        <f t="shared" si="9"/>
        <v/>
      </c>
      <c r="AX25" s="154" t="str">
        <f t="shared" si="9"/>
        <v/>
      </c>
      <c r="AY25" s="154" t="str">
        <f t="shared" si="9"/>
        <v/>
      </c>
      <c r="AZ25" s="154" t="str">
        <f t="shared" si="9"/>
        <v/>
      </c>
      <c r="BA25" s="154" t="str">
        <f t="shared" si="9"/>
        <v/>
      </c>
      <c r="BB25" s="154" t="str">
        <f t="shared" si="9"/>
        <v/>
      </c>
      <c r="BC25" s="154" t="str">
        <f t="shared" si="9"/>
        <v/>
      </c>
      <c r="BD25" s="154" t="str">
        <f t="shared" si="9"/>
        <v/>
      </c>
      <c r="BE25" s="154" t="str">
        <f t="shared" si="9"/>
        <v/>
      </c>
      <c r="BF25" s="154" t="str">
        <f t="shared" si="9"/>
        <v/>
      </c>
      <c r="BG25" s="154" t="str">
        <f t="shared" si="9"/>
        <v/>
      </c>
      <c r="BH25" s="154" t="str">
        <f t="shared" si="9"/>
        <v/>
      </c>
      <c r="BI25" s="154" t="str">
        <f t="shared" si="9"/>
        <v/>
      </c>
      <c r="BJ25" s="154" t="str">
        <f t="shared" si="9"/>
        <v/>
      </c>
      <c r="BK25" s="154" t="str">
        <f t="shared" si="9"/>
        <v/>
      </c>
      <c r="BL25" s="154" t="str">
        <f t="shared" si="9"/>
        <v/>
      </c>
      <c r="BM25" s="154" t="str">
        <f t="shared" si="9"/>
        <v/>
      </c>
      <c r="BN25" s="154" t="str">
        <f t="shared" si="9"/>
        <v/>
      </c>
      <c r="BO25" s="154" t="str">
        <f t="shared" si="9"/>
        <v/>
      </c>
      <c r="BP25" s="154" t="str">
        <f t="shared" si="9"/>
        <v/>
      </c>
      <c r="BQ25" s="154" t="str">
        <f t="shared" ref="BQ25:CE25" si="10">IF(BQ$9=$M25,$P25,IF(BQ$9=$Q25,$T25,IF(BQ$9=$U25,$X25,IF(BQ$9=$Y25,$AB25,IF(BQ$9=$L25,"ПС",IF(BQ$9=$I25,"КС",IF(AND(BQ$9&lt;$I25,BQ$9&gt;$L25),"--","")))))))</f>
        <v/>
      </c>
      <c r="BR25" s="154" t="str">
        <f t="shared" si="10"/>
        <v/>
      </c>
      <c r="BS25" s="154" t="str">
        <f t="shared" si="10"/>
        <v/>
      </c>
      <c r="BT25" s="154" t="str">
        <f t="shared" si="10"/>
        <v/>
      </c>
      <c r="BU25" s="154" t="str">
        <f t="shared" si="10"/>
        <v/>
      </c>
      <c r="BV25" s="154" t="str">
        <f t="shared" si="10"/>
        <v/>
      </c>
      <c r="BW25" s="154" t="str">
        <f t="shared" si="10"/>
        <v/>
      </c>
      <c r="BX25" s="154" t="str">
        <f t="shared" si="10"/>
        <v/>
      </c>
      <c r="BY25" s="154" t="str">
        <f t="shared" si="10"/>
        <v/>
      </c>
      <c r="BZ25" s="154" t="str">
        <f t="shared" si="10"/>
        <v/>
      </c>
      <c r="CA25" s="154" t="str">
        <f t="shared" si="10"/>
        <v/>
      </c>
      <c r="CB25" s="154" t="str">
        <f t="shared" si="10"/>
        <v/>
      </c>
      <c r="CC25" s="154" t="str">
        <f t="shared" si="10"/>
        <v/>
      </c>
      <c r="CD25" s="154" t="str">
        <f t="shared" si="10"/>
        <v/>
      </c>
      <c r="CE25" s="154" t="str">
        <f t="shared" si="10"/>
        <v/>
      </c>
      <c r="CF25" s="155">
        <f t="shared" si="4"/>
        <v>0</v>
      </c>
      <c r="CG25" s="156">
        <f t="shared" si="5"/>
        <v>0</v>
      </c>
    </row>
    <row r="26" spans="1:85" ht="12" customHeight="1">
      <c r="A26" s="149">
        <v>16</v>
      </c>
      <c r="B26" s="150" t="s">
        <v>328</v>
      </c>
      <c r="C26" s="150" t="s">
        <v>329</v>
      </c>
      <c r="D26" s="150" t="s">
        <v>387</v>
      </c>
      <c r="E26" s="173">
        <v>2</v>
      </c>
      <c r="F26" s="297"/>
      <c r="G26" s="175">
        <f t="shared" si="2"/>
        <v>2</v>
      </c>
      <c r="H26" s="150"/>
      <c r="I26" s="200"/>
      <c r="J26" s="150"/>
      <c r="K26" s="150"/>
      <c r="L26" s="150"/>
      <c r="M26" s="151"/>
      <c r="N26" s="149"/>
      <c r="O26" s="149"/>
      <c r="P26" s="152"/>
      <c r="Q26" s="151"/>
      <c r="R26" s="149"/>
      <c r="S26" s="149"/>
      <c r="T26" s="152"/>
      <c r="U26" s="151"/>
      <c r="V26" s="149"/>
      <c r="W26" s="149"/>
      <c r="X26" s="152"/>
      <c r="Y26" s="151"/>
      <c r="Z26" s="149"/>
      <c r="AA26" s="149"/>
      <c r="AB26" s="152"/>
      <c r="AC26" s="153"/>
      <c r="AD26" s="154" t="str">
        <f t="shared" ref="AD26:CE30" si="11">IF(AD$9=$M26,$P26,IF(AD$9=$Q26,$T26,IF(AD$9=$U26,$X26,IF(AD$9=$Y26,$AB26,IF(AD$9=$L26,"ПС",IF(AD$9=$I26,"КС",IF(AND(AD$9&lt;$I26,AD$9&gt;$L26),"--","")))))))</f>
        <v/>
      </c>
      <c r="AE26" s="154" t="str">
        <f t="shared" si="11"/>
        <v/>
      </c>
      <c r="AF26" s="154" t="str">
        <f t="shared" si="11"/>
        <v/>
      </c>
      <c r="AG26" s="154" t="str">
        <f t="shared" si="11"/>
        <v/>
      </c>
      <c r="AH26" s="154" t="str">
        <f t="shared" si="11"/>
        <v/>
      </c>
      <c r="AI26" s="154" t="str">
        <f t="shared" si="11"/>
        <v/>
      </c>
      <c r="AJ26" s="154" t="str">
        <f t="shared" si="11"/>
        <v/>
      </c>
      <c r="AK26" s="154" t="str">
        <f t="shared" si="11"/>
        <v/>
      </c>
      <c r="AL26" s="154" t="str">
        <f t="shared" si="11"/>
        <v/>
      </c>
      <c r="AM26" s="154" t="str">
        <f t="shared" si="11"/>
        <v/>
      </c>
      <c r="AN26" s="154" t="str">
        <f t="shared" si="11"/>
        <v/>
      </c>
      <c r="AO26" s="154" t="str">
        <f t="shared" si="11"/>
        <v/>
      </c>
      <c r="AP26" s="154" t="str">
        <f t="shared" si="11"/>
        <v/>
      </c>
      <c r="AQ26" s="154" t="str">
        <f t="shared" si="11"/>
        <v/>
      </c>
      <c r="AR26" s="154" t="str">
        <f t="shared" si="11"/>
        <v/>
      </c>
      <c r="AS26" s="154" t="str">
        <f t="shared" si="11"/>
        <v/>
      </c>
      <c r="AT26" s="154" t="str">
        <f t="shared" si="11"/>
        <v/>
      </c>
      <c r="AU26" s="154" t="str">
        <f t="shared" si="11"/>
        <v/>
      </c>
      <c r="AV26" s="154" t="str">
        <f t="shared" si="11"/>
        <v/>
      </c>
      <c r="AW26" s="154" t="str">
        <f t="shared" si="11"/>
        <v/>
      </c>
      <c r="AX26" s="154" t="str">
        <f t="shared" si="11"/>
        <v/>
      </c>
      <c r="AY26" s="154" t="str">
        <f t="shared" si="11"/>
        <v/>
      </c>
      <c r="AZ26" s="154" t="str">
        <f t="shared" si="11"/>
        <v/>
      </c>
      <c r="BA26" s="154" t="str">
        <f t="shared" si="11"/>
        <v/>
      </c>
      <c r="BB26" s="154" t="str">
        <f t="shared" si="11"/>
        <v/>
      </c>
      <c r="BC26" s="154" t="str">
        <f t="shared" si="11"/>
        <v/>
      </c>
      <c r="BD26" s="154" t="str">
        <f t="shared" si="11"/>
        <v/>
      </c>
      <c r="BE26" s="154" t="str">
        <f t="shared" si="11"/>
        <v/>
      </c>
      <c r="BF26" s="154" t="str">
        <f t="shared" si="11"/>
        <v/>
      </c>
      <c r="BG26" s="154" t="str">
        <f t="shared" si="11"/>
        <v/>
      </c>
      <c r="BH26" s="154" t="str">
        <f t="shared" si="11"/>
        <v/>
      </c>
      <c r="BI26" s="154" t="str">
        <f t="shared" si="11"/>
        <v/>
      </c>
      <c r="BJ26" s="154" t="str">
        <f t="shared" si="11"/>
        <v/>
      </c>
      <c r="BK26" s="154" t="str">
        <f t="shared" si="11"/>
        <v/>
      </c>
      <c r="BL26" s="154" t="str">
        <f t="shared" si="11"/>
        <v/>
      </c>
      <c r="BM26" s="154" t="str">
        <f t="shared" si="11"/>
        <v/>
      </c>
      <c r="BN26" s="154" t="str">
        <f t="shared" si="11"/>
        <v/>
      </c>
      <c r="BO26" s="154" t="str">
        <f t="shared" si="11"/>
        <v/>
      </c>
      <c r="BP26" s="154" t="str">
        <f t="shared" si="11"/>
        <v/>
      </c>
      <c r="BQ26" s="154" t="str">
        <f t="shared" si="11"/>
        <v/>
      </c>
      <c r="BR26" s="154" t="str">
        <f t="shared" si="11"/>
        <v/>
      </c>
      <c r="BS26" s="154" t="str">
        <f t="shared" si="11"/>
        <v/>
      </c>
      <c r="BT26" s="154" t="str">
        <f t="shared" si="11"/>
        <v/>
      </c>
      <c r="BU26" s="154" t="str">
        <f t="shared" si="11"/>
        <v/>
      </c>
      <c r="BV26" s="154" t="str">
        <f t="shared" si="11"/>
        <v/>
      </c>
      <c r="BW26" s="154" t="str">
        <f t="shared" si="11"/>
        <v/>
      </c>
      <c r="BX26" s="154" t="str">
        <f t="shared" si="11"/>
        <v/>
      </c>
      <c r="BY26" s="154" t="str">
        <f t="shared" si="11"/>
        <v/>
      </c>
      <c r="BZ26" s="154" t="str">
        <f t="shared" si="11"/>
        <v/>
      </c>
      <c r="CA26" s="154" t="str">
        <f t="shared" si="11"/>
        <v/>
      </c>
      <c r="CB26" s="154" t="str">
        <f t="shared" si="11"/>
        <v/>
      </c>
      <c r="CC26" s="154" t="str">
        <f t="shared" si="11"/>
        <v/>
      </c>
      <c r="CD26" s="154" t="str">
        <f t="shared" si="11"/>
        <v/>
      </c>
      <c r="CE26" s="154" t="str">
        <f t="shared" si="11"/>
        <v/>
      </c>
      <c r="CF26" s="155">
        <f t="shared" si="4"/>
        <v>0</v>
      </c>
      <c r="CG26" s="156">
        <f t="shared" si="5"/>
        <v>0</v>
      </c>
    </row>
    <row r="27" spans="1:85" ht="12" customHeight="1">
      <c r="A27" s="149">
        <v>17</v>
      </c>
      <c r="B27" s="150" t="s">
        <v>338</v>
      </c>
      <c r="C27" s="150" t="s">
        <v>339</v>
      </c>
      <c r="D27" s="150" t="s">
        <v>387</v>
      </c>
      <c r="E27" s="173">
        <v>4</v>
      </c>
      <c r="F27" s="297"/>
      <c r="G27" s="175">
        <f t="shared" si="2"/>
        <v>4</v>
      </c>
      <c r="H27" s="150"/>
      <c r="I27" s="200"/>
      <c r="J27" s="150"/>
      <c r="K27" s="150"/>
      <c r="L27" s="150"/>
      <c r="M27" s="151"/>
      <c r="N27" s="149"/>
      <c r="O27" s="149"/>
      <c r="P27" s="152"/>
      <c r="Q27" s="151"/>
      <c r="R27" s="149"/>
      <c r="S27" s="149"/>
      <c r="T27" s="152"/>
      <c r="U27" s="151"/>
      <c r="V27" s="149"/>
      <c r="W27" s="149"/>
      <c r="X27" s="152"/>
      <c r="Y27" s="151"/>
      <c r="Z27" s="149"/>
      <c r="AA27" s="149"/>
      <c r="AB27" s="152"/>
      <c r="AC27" s="153"/>
      <c r="AD27" s="154" t="str">
        <f t="shared" si="11"/>
        <v/>
      </c>
      <c r="AE27" s="154" t="str">
        <f t="shared" si="11"/>
        <v/>
      </c>
      <c r="AF27" s="154" t="str">
        <f t="shared" si="11"/>
        <v/>
      </c>
      <c r="AG27" s="154" t="str">
        <f t="shared" si="11"/>
        <v/>
      </c>
      <c r="AH27" s="154" t="str">
        <f t="shared" si="11"/>
        <v/>
      </c>
      <c r="AI27" s="154" t="str">
        <f t="shared" si="11"/>
        <v/>
      </c>
      <c r="AJ27" s="154" t="str">
        <f t="shared" si="11"/>
        <v/>
      </c>
      <c r="AK27" s="154" t="str">
        <f t="shared" si="11"/>
        <v/>
      </c>
      <c r="AL27" s="154" t="str">
        <f t="shared" si="11"/>
        <v/>
      </c>
      <c r="AM27" s="154" t="str">
        <f t="shared" si="11"/>
        <v/>
      </c>
      <c r="AN27" s="154" t="str">
        <f t="shared" si="11"/>
        <v/>
      </c>
      <c r="AO27" s="154" t="str">
        <f t="shared" si="11"/>
        <v/>
      </c>
      <c r="AP27" s="154" t="str">
        <f t="shared" si="11"/>
        <v/>
      </c>
      <c r="AQ27" s="154" t="str">
        <f t="shared" si="11"/>
        <v/>
      </c>
      <c r="AR27" s="154" t="str">
        <f t="shared" si="11"/>
        <v/>
      </c>
      <c r="AS27" s="154" t="str">
        <f t="shared" si="11"/>
        <v/>
      </c>
      <c r="AT27" s="154" t="str">
        <f t="shared" si="11"/>
        <v/>
      </c>
      <c r="AU27" s="154" t="str">
        <f t="shared" si="11"/>
        <v/>
      </c>
      <c r="AV27" s="154" t="str">
        <f t="shared" si="11"/>
        <v/>
      </c>
      <c r="AW27" s="154" t="str">
        <f t="shared" si="11"/>
        <v/>
      </c>
      <c r="AX27" s="154" t="str">
        <f t="shared" si="11"/>
        <v/>
      </c>
      <c r="AY27" s="154" t="str">
        <f t="shared" si="11"/>
        <v/>
      </c>
      <c r="AZ27" s="154" t="str">
        <f t="shared" si="11"/>
        <v/>
      </c>
      <c r="BA27" s="154" t="str">
        <f t="shared" si="11"/>
        <v/>
      </c>
      <c r="BB27" s="154" t="str">
        <f t="shared" si="11"/>
        <v/>
      </c>
      <c r="BC27" s="154" t="str">
        <f t="shared" si="11"/>
        <v/>
      </c>
      <c r="BD27" s="154" t="str">
        <f t="shared" si="11"/>
        <v/>
      </c>
      <c r="BE27" s="154" t="str">
        <f t="shared" si="11"/>
        <v/>
      </c>
      <c r="BF27" s="154" t="str">
        <f t="shared" si="11"/>
        <v/>
      </c>
      <c r="BG27" s="154" t="str">
        <f t="shared" si="11"/>
        <v/>
      </c>
      <c r="BH27" s="154" t="str">
        <f t="shared" si="11"/>
        <v/>
      </c>
      <c r="BI27" s="154" t="str">
        <f t="shared" si="11"/>
        <v/>
      </c>
      <c r="BJ27" s="154" t="str">
        <f t="shared" si="11"/>
        <v/>
      </c>
      <c r="BK27" s="154" t="str">
        <f t="shared" si="11"/>
        <v/>
      </c>
      <c r="BL27" s="154" t="str">
        <f t="shared" si="11"/>
        <v/>
      </c>
      <c r="BM27" s="154" t="str">
        <f t="shared" si="11"/>
        <v/>
      </c>
      <c r="BN27" s="154" t="str">
        <f t="shared" si="11"/>
        <v/>
      </c>
      <c r="BO27" s="154" t="str">
        <f t="shared" si="11"/>
        <v/>
      </c>
      <c r="BP27" s="154" t="str">
        <f t="shared" si="11"/>
        <v/>
      </c>
      <c r="BQ27" s="154" t="str">
        <f t="shared" si="11"/>
        <v/>
      </c>
      <c r="BR27" s="154" t="str">
        <f t="shared" si="11"/>
        <v/>
      </c>
      <c r="BS27" s="154" t="str">
        <f t="shared" si="11"/>
        <v/>
      </c>
      <c r="BT27" s="154" t="str">
        <f t="shared" si="11"/>
        <v/>
      </c>
      <c r="BU27" s="154" t="str">
        <f t="shared" si="11"/>
        <v/>
      </c>
      <c r="BV27" s="154" t="str">
        <f t="shared" si="11"/>
        <v/>
      </c>
      <c r="BW27" s="154" t="str">
        <f t="shared" si="11"/>
        <v/>
      </c>
      <c r="BX27" s="154" t="str">
        <f t="shared" si="11"/>
        <v/>
      </c>
      <c r="BY27" s="154" t="str">
        <f t="shared" si="11"/>
        <v/>
      </c>
      <c r="BZ27" s="154" t="str">
        <f t="shared" si="11"/>
        <v/>
      </c>
      <c r="CA27" s="154" t="str">
        <f t="shared" si="11"/>
        <v/>
      </c>
      <c r="CB27" s="154" t="str">
        <f t="shared" si="11"/>
        <v/>
      </c>
      <c r="CC27" s="154" t="str">
        <f t="shared" si="11"/>
        <v/>
      </c>
      <c r="CD27" s="154" t="str">
        <f t="shared" si="11"/>
        <v/>
      </c>
      <c r="CE27" s="154" t="str">
        <f t="shared" si="11"/>
        <v/>
      </c>
      <c r="CF27" s="155">
        <f t="shared" si="4"/>
        <v>0</v>
      </c>
      <c r="CG27" s="156">
        <f t="shared" si="5"/>
        <v>0</v>
      </c>
    </row>
    <row r="28" spans="1:85" ht="12" customHeight="1">
      <c r="A28" s="149">
        <v>18</v>
      </c>
      <c r="B28" s="150" t="s">
        <v>330</v>
      </c>
      <c r="C28" s="150" t="s">
        <v>329</v>
      </c>
      <c r="D28" s="150" t="s">
        <v>387</v>
      </c>
      <c r="E28" s="173">
        <v>1</v>
      </c>
      <c r="F28" s="297"/>
      <c r="G28" s="175">
        <f t="shared" si="2"/>
        <v>1</v>
      </c>
      <c r="H28" s="150"/>
      <c r="I28" s="200"/>
      <c r="J28" s="150"/>
      <c r="K28" s="150"/>
      <c r="L28" s="150"/>
      <c r="M28" s="151"/>
      <c r="N28" s="149"/>
      <c r="O28" s="149"/>
      <c r="P28" s="152"/>
      <c r="Q28" s="151"/>
      <c r="R28" s="149"/>
      <c r="S28" s="149"/>
      <c r="T28" s="152"/>
      <c r="U28" s="151"/>
      <c r="V28" s="149"/>
      <c r="W28" s="149"/>
      <c r="X28" s="152"/>
      <c r="Y28" s="151"/>
      <c r="Z28" s="149"/>
      <c r="AA28" s="149"/>
      <c r="AB28" s="152"/>
      <c r="AC28" s="153"/>
      <c r="AD28" s="154" t="str">
        <f t="shared" si="11"/>
        <v/>
      </c>
      <c r="AE28" s="154" t="str">
        <f t="shared" si="11"/>
        <v/>
      </c>
      <c r="AF28" s="154" t="str">
        <f t="shared" si="11"/>
        <v/>
      </c>
      <c r="AG28" s="154" t="str">
        <f t="shared" si="11"/>
        <v/>
      </c>
      <c r="AH28" s="154" t="str">
        <f t="shared" si="11"/>
        <v/>
      </c>
      <c r="AI28" s="154" t="str">
        <f t="shared" si="11"/>
        <v/>
      </c>
      <c r="AJ28" s="154" t="str">
        <f t="shared" si="11"/>
        <v/>
      </c>
      <c r="AK28" s="154" t="str">
        <f t="shared" si="11"/>
        <v/>
      </c>
      <c r="AL28" s="154" t="str">
        <f t="shared" si="11"/>
        <v/>
      </c>
      <c r="AM28" s="154" t="str">
        <f t="shared" si="11"/>
        <v/>
      </c>
      <c r="AN28" s="154" t="str">
        <f t="shared" si="11"/>
        <v/>
      </c>
      <c r="AO28" s="154" t="str">
        <f t="shared" si="11"/>
        <v/>
      </c>
      <c r="AP28" s="154" t="str">
        <f t="shared" si="11"/>
        <v/>
      </c>
      <c r="AQ28" s="154" t="str">
        <f t="shared" si="11"/>
        <v/>
      </c>
      <c r="AR28" s="154" t="str">
        <f t="shared" si="11"/>
        <v/>
      </c>
      <c r="AS28" s="154" t="str">
        <f t="shared" si="11"/>
        <v/>
      </c>
      <c r="AT28" s="154" t="str">
        <f t="shared" si="11"/>
        <v/>
      </c>
      <c r="AU28" s="154" t="str">
        <f t="shared" si="11"/>
        <v/>
      </c>
      <c r="AV28" s="154" t="str">
        <f t="shared" si="11"/>
        <v/>
      </c>
      <c r="AW28" s="154" t="str">
        <f t="shared" si="11"/>
        <v/>
      </c>
      <c r="AX28" s="154" t="str">
        <f t="shared" si="11"/>
        <v/>
      </c>
      <c r="AY28" s="154" t="str">
        <f t="shared" si="11"/>
        <v/>
      </c>
      <c r="AZ28" s="154" t="str">
        <f t="shared" si="11"/>
        <v/>
      </c>
      <c r="BA28" s="154" t="str">
        <f t="shared" si="11"/>
        <v/>
      </c>
      <c r="BB28" s="154" t="str">
        <f t="shared" si="11"/>
        <v/>
      </c>
      <c r="BC28" s="154" t="str">
        <f t="shared" si="11"/>
        <v/>
      </c>
      <c r="BD28" s="154" t="str">
        <f t="shared" si="11"/>
        <v/>
      </c>
      <c r="BE28" s="154" t="str">
        <f t="shared" si="11"/>
        <v/>
      </c>
      <c r="BF28" s="154" t="str">
        <f t="shared" si="11"/>
        <v/>
      </c>
      <c r="BG28" s="154" t="str">
        <f t="shared" si="11"/>
        <v/>
      </c>
      <c r="BH28" s="154" t="str">
        <f t="shared" si="11"/>
        <v/>
      </c>
      <c r="BI28" s="154" t="str">
        <f t="shared" si="11"/>
        <v/>
      </c>
      <c r="BJ28" s="154" t="str">
        <f t="shared" si="11"/>
        <v/>
      </c>
      <c r="BK28" s="154" t="str">
        <f t="shared" si="11"/>
        <v/>
      </c>
      <c r="BL28" s="154" t="str">
        <f t="shared" si="11"/>
        <v/>
      </c>
      <c r="BM28" s="154" t="str">
        <f t="shared" si="11"/>
        <v/>
      </c>
      <c r="BN28" s="154" t="str">
        <f t="shared" si="11"/>
        <v/>
      </c>
      <c r="BO28" s="154" t="str">
        <f t="shared" si="11"/>
        <v/>
      </c>
      <c r="BP28" s="154" t="str">
        <f t="shared" si="11"/>
        <v/>
      </c>
      <c r="BQ28" s="154" t="str">
        <f t="shared" si="11"/>
        <v/>
      </c>
      <c r="BR28" s="154" t="str">
        <f t="shared" si="11"/>
        <v/>
      </c>
      <c r="BS28" s="154" t="str">
        <f t="shared" si="11"/>
        <v/>
      </c>
      <c r="BT28" s="154" t="str">
        <f t="shared" si="11"/>
        <v/>
      </c>
      <c r="BU28" s="154" t="str">
        <f t="shared" si="11"/>
        <v/>
      </c>
      <c r="BV28" s="154" t="str">
        <f t="shared" si="11"/>
        <v/>
      </c>
      <c r="BW28" s="154" t="str">
        <f t="shared" si="11"/>
        <v/>
      </c>
      <c r="BX28" s="154" t="str">
        <f t="shared" si="11"/>
        <v/>
      </c>
      <c r="BY28" s="154" t="str">
        <f t="shared" si="11"/>
        <v/>
      </c>
      <c r="BZ28" s="154" t="str">
        <f t="shared" si="11"/>
        <v/>
      </c>
      <c r="CA28" s="154" t="str">
        <f t="shared" si="11"/>
        <v/>
      </c>
      <c r="CB28" s="154" t="str">
        <f t="shared" si="11"/>
        <v/>
      </c>
      <c r="CC28" s="154" t="str">
        <f t="shared" si="11"/>
        <v/>
      </c>
      <c r="CD28" s="154" t="str">
        <f t="shared" si="11"/>
        <v/>
      </c>
      <c r="CE28" s="154" t="str">
        <f t="shared" si="11"/>
        <v/>
      </c>
      <c r="CF28" s="155">
        <f t="shared" si="4"/>
        <v>0</v>
      </c>
      <c r="CG28" s="156">
        <f t="shared" si="5"/>
        <v>0</v>
      </c>
    </row>
    <row r="29" spans="1:85" ht="12" customHeight="1">
      <c r="A29" s="149">
        <v>19</v>
      </c>
      <c r="B29" s="150" t="s">
        <v>331</v>
      </c>
      <c r="C29" s="150" t="s">
        <v>329</v>
      </c>
      <c r="D29" s="150" t="s">
        <v>387</v>
      </c>
      <c r="E29" s="173">
        <v>2</v>
      </c>
      <c r="F29" s="297"/>
      <c r="G29" s="175">
        <f t="shared" si="2"/>
        <v>2</v>
      </c>
      <c r="H29" s="150"/>
      <c r="I29" s="200"/>
      <c r="J29" s="150"/>
      <c r="K29" s="150"/>
      <c r="L29" s="150"/>
      <c r="M29" s="151"/>
      <c r="N29" s="149"/>
      <c r="O29" s="149"/>
      <c r="P29" s="152"/>
      <c r="Q29" s="151"/>
      <c r="R29" s="149"/>
      <c r="S29" s="149"/>
      <c r="T29" s="152"/>
      <c r="U29" s="151"/>
      <c r="V29" s="149"/>
      <c r="W29" s="149"/>
      <c r="X29" s="152"/>
      <c r="Y29" s="151"/>
      <c r="Z29" s="149"/>
      <c r="AA29" s="149"/>
      <c r="AB29" s="152"/>
      <c r="AC29" s="153"/>
      <c r="AD29" s="154" t="str">
        <f t="shared" si="11"/>
        <v/>
      </c>
      <c r="AE29" s="154" t="str">
        <f t="shared" si="11"/>
        <v/>
      </c>
      <c r="AF29" s="154" t="str">
        <f t="shared" si="11"/>
        <v/>
      </c>
      <c r="AG29" s="154" t="str">
        <f t="shared" si="11"/>
        <v/>
      </c>
      <c r="AH29" s="154" t="str">
        <f t="shared" si="11"/>
        <v/>
      </c>
      <c r="AI29" s="154" t="str">
        <f t="shared" si="11"/>
        <v/>
      </c>
      <c r="AJ29" s="154" t="str">
        <f t="shared" si="11"/>
        <v/>
      </c>
      <c r="AK29" s="154" t="str">
        <f t="shared" si="11"/>
        <v/>
      </c>
      <c r="AL29" s="154" t="str">
        <f t="shared" si="11"/>
        <v/>
      </c>
      <c r="AM29" s="154" t="str">
        <f t="shared" si="11"/>
        <v/>
      </c>
      <c r="AN29" s="154" t="str">
        <f t="shared" si="11"/>
        <v/>
      </c>
      <c r="AO29" s="154" t="str">
        <f t="shared" si="11"/>
        <v/>
      </c>
      <c r="AP29" s="154" t="str">
        <f t="shared" si="11"/>
        <v/>
      </c>
      <c r="AQ29" s="154" t="str">
        <f t="shared" si="11"/>
        <v/>
      </c>
      <c r="AR29" s="154" t="str">
        <f t="shared" si="11"/>
        <v/>
      </c>
      <c r="AS29" s="154" t="str">
        <f t="shared" si="11"/>
        <v/>
      </c>
      <c r="AT29" s="154" t="str">
        <f t="shared" si="11"/>
        <v/>
      </c>
      <c r="AU29" s="154" t="str">
        <f t="shared" si="11"/>
        <v/>
      </c>
      <c r="AV29" s="154" t="str">
        <f t="shared" si="11"/>
        <v/>
      </c>
      <c r="AW29" s="154" t="str">
        <f t="shared" si="11"/>
        <v/>
      </c>
      <c r="AX29" s="154" t="str">
        <f t="shared" si="11"/>
        <v/>
      </c>
      <c r="AY29" s="154" t="str">
        <f t="shared" si="11"/>
        <v/>
      </c>
      <c r="AZ29" s="154" t="str">
        <f t="shared" si="11"/>
        <v/>
      </c>
      <c r="BA29" s="154" t="str">
        <f t="shared" si="11"/>
        <v/>
      </c>
      <c r="BB29" s="154" t="str">
        <f t="shared" si="11"/>
        <v/>
      </c>
      <c r="BC29" s="154" t="str">
        <f t="shared" si="11"/>
        <v/>
      </c>
      <c r="BD29" s="154" t="str">
        <f t="shared" si="11"/>
        <v/>
      </c>
      <c r="BE29" s="154" t="str">
        <f t="shared" si="11"/>
        <v/>
      </c>
      <c r="BF29" s="154" t="str">
        <f t="shared" si="11"/>
        <v/>
      </c>
      <c r="BG29" s="154" t="str">
        <f t="shared" si="11"/>
        <v/>
      </c>
      <c r="BH29" s="154" t="str">
        <f t="shared" si="11"/>
        <v/>
      </c>
      <c r="BI29" s="154" t="str">
        <f t="shared" si="11"/>
        <v/>
      </c>
      <c r="BJ29" s="154" t="str">
        <f t="shared" si="11"/>
        <v/>
      </c>
      <c r="BK29" s="154" t="str">
        <f t="shared" si="11"/>
        <v/>
      </c>
      <c r="BL29" s="154" t="str">
        <f t="shared" si="11"/>
        <v/>
      </c>
      <c r="BM29" s="154" t="str">
        <f t="shared" si="11"/>
        <v/>
      </c>
      <c r="BN29" s="154" t="str">
        <f t="shared" si="11"/>
        <v/>
      </c>
      <c r="BO29" s="154" t="str">
        <f t="shared" si="11"/>
        <v/>
      </c>
      <c r="BP29" s="154" t="str">
        <f t="shared" si="11"/>
        <v/>
      </c>
      <c r="BQ29" s="154" t="str">
        <f t="shared" si="11"/>
        <v/>
      </c>
      <c r="BR29" s="154" t="str">
        <f t="shared" si="11"/>
        <v/>
      </c>
      <c r="BS29" s="154" t="str">
        <f t="shared" si="11"/>
        <v/>
      </c>
      <c r="BT29" s="154" t="str">
        <f t="shared" si="11"/>
        <v/>
      </c>
      <c r="BU29" s="154" t="str">
        <f t="shared" si="11"/>
        <v/>
      </c>
      <c r="BV29" s="154" t="str">
        <f t="shared" si="11"/>
        <v/>
      </c>
      <c r="BW29" s="154" t="str">
        <f t="shared" si="11"/>
        <v/>
      </c>
      <c r="BX29" s="154" t="str">
        <f t="shared" si="11"/>
        <v/>
      </c>
      <c r="BY29" s="154" t="str">
        <f t="shared" si="11"/>
        <v/>
      </c>
      <c r="BZ29" s="154" t="str">
        <f t="shared" si="11"/>
        <v/>
      </c>
      <c r="CA29" s="154" t="str">
        <f t="shared" si="11"/>
        <v/>
      </c>
      <c r="CB29" s="154" t="str">
        <f t="shared" si="11"/>
        <v/>
      </c>
      <c r="CC29" s="154" t="str">
        <f t="shared" si="11"/>
        <v/>
      </c>
      <c r="CD29" s="154" t="str">
        <f t="shared" si="11"/>
        <v/>
      </c>
      <c r="CE29" s="154" t="str">
        <f t="shared" si="11"/>
        <v/>
      </c>
      <c r="CF29" s="155">
        <f t="shared" si="4"/>
        <v>0</v>
      </c>
      <c r="CG29" s="156">
        <f t="shared" si="5"/>
        <v>0</v>
      </c>
    </row>
    <row r="30" spans="1:85" ht="12" customHeight="1">
      <c r="A30" s="149">
        <v>20</v>
      </c>
      <c r="B30" s="150" t="s">
        <v>340</v>
      </c>
      <c r="C30" s="150" t="s">
        <v>335</v>
      </c>
      <c r="D30" s="150" t="s">
        <v>387</v>
      </c>
      <c r="E30" s="173">
        <v>2</v>
      </c>
      <c r="F30" s="297"/>
      <c r="G30" s="175">
        <f t="shared" si="2"/>
        <v>2</v>
      </c>
      <c r="H30" s="150"/>
      <c r="I30" s="200"/>
      <c r="J30" s="150"/>
      <c r="K30" s="150"/>
      <c r="L30" s="150"/>
      <c r="M30" s="151"/>
      <c r="N30" s="149"/>
      <c r="O30" s="149"/>
      <c r="P30" s="152"/>
      <c r="Q30" s="151"/>
      <c r="R30" s="149"/>
      <c r="S30" s="149"/>
      <c r="T30" s="152"/>
      <c r="U30" s="151"/>
      <c r="V30" s="149"/>
      <c r="W30" s="149"/>
      <c r="X30" s="152"/>
      <c r="Y30" s="151"/>
      <c r="Z30" s="149"/>
      <c r="AA30" s="149"/>
      <c r="AB30" s="152"/>
      <c r="AC30" s="153"/>
      <c r="AD30" s="154" t="str">
        <f t="shared" si="11"/>
        <v/>
      </c>
      <c r="AE30" s="154" t="str">
        <f t="shared" si="11"/>
        <v/>
      </c>
      <c r="AF30" s="154" t="str">
        <f t="shared" si="11"/>
        <v/>
      </c>
      <c r="AG30" s="154" t="str">
        <f t="shared" si="11"/>
        <v/>
      </c>
      <c r="AH30" s="154" t="str">
        <f t="shared" si="11"/>
        <v/>
      </c>
      <c r="AI30" s="154" t="str">
        <f t="shared" si="11"/>
        <v/>
      </c>
      <c r="AJ30" s="154" t="str">
        <f t="shared" si="11"/>
        <v/>
      </c>
      <c r="AK30" s="154" t="str">
        <f t="shared" si="11"/>
        <v/>
      </c>
      <c r="AL30" s="154" t="str">
        <f t="shared" si="11"/>
        <v/>
      </c>
      <c r="AM30" s="154" t="str">
        <f t="shared" si="11"/>
        <v/>
      </c>
      <c r="AN30" s="154" t="str">
        <f t="shared" si="11"/>
        <v/>
      </c>
      <c r="AO30" s="154" t="str">
        <f t="shared" si="11"/>
        <v/>
      </c>
      <c r="AP30" s="154" t="str">
        <f t="shared" si="11"/>
        <v/>
      </c>
      <c r="AQ30" s="154" t="str">
        <f t="shared" si="11"/>
        <v/>
      </c>
      <c r="AR30" s="154" t="str">
        <f t="shared" si="11"/>
        <v/>
      </c>
      <c r="AS30" s="154" t="str">
        <f t="shared" si="11"/>
        <v/>
      </c>
      <c r="AT30" s="154" t="str">
        <f t="shared" si="11"/>
        <v/>
      </c>
      <c r="AU30" s="154" t="str">
        <f t="shared" si="11"/>
        <v/>
      </c>
      <c r="AV30" s="154" t="str">
        <f t="shared" si="11"/>
        <v/>
      </c>
      <c r="AW30" s="154" t="str">
        <f t="shared" si="11"/>
        <v/>
      </c>
      <c r="AX30" s="154" t="str">
        <f t="shared" si="11"/>
        <v/>
      </c>
      <c r="AY30" s="154" t="str">
        <f t="shared" si="11"/>
        <v/>
      </c>
      <c r="AZ30" s="154" t="str">
        <f t="shared" si="11"/>
        <v/>
      </c>
      <c r="BA30" s="154" t="str">
        <f t="shared" si="11"/>
        <v/>
      </c>
      <c r="BB30" s="154" t="str">
        <f t="shared" si="11"/>
        <v/>
      </c>
      <c r="BC30" s="154" t="str">
        <f t="shared" si="11"/>
        <v/>
      </c>
      <c r="BD30" s="154" t="str">
        <f t="shared" si="11"/>
        <v/>
      </c>
      <c r="BE30" s="154" t="str">
        <f t="shared" si="11"/>
        <v/>
      </c>
      <c r="BF30" s="154" t="str">
        <f t="shared" si="11"/>
        <v/>
      </c>
      <c r="BG30" s="154" t="str">
        <f t="shared" si="11"/>
        <v/>
      </c>
      <c r="BH30" s="154" t="str">
        <f t="shared" si="11"/>
        <v/>
      </c>
      <c r="BI30" s="154" t="str">
        <f t="shared" si="11"/>
        <v/>
      </c>
      <c r="BJ30" s="154" t="str">
        <f t="shared" si="11"/>
        <v/>
      </c>
      <c r="BK30" s="154" t="str">
        <f t="shared" si="11"/>
        <v/>
      </c>
      <c r="BL30" s="154" t="str">
        <f t="shared" si="11"/>
        <v/>
      </c>
      <c r="BM30" s="154" t="str">
        <f t="shared" si="11"/>
        <v/>
      </c>
      <c r="BN30" s="154" t="str">
        <f t="shared" si="11"/>
        <v/>
      </c>
      <c r="BO30" s="154" t="str">
        <f t="shared" si="11"/>
        <v/>
      </c>
      <c r="BP30" s="154" t="str">
        <f t="shared" si="11"/>
        <v/>
      </c>
      <c r="BQ30" s="154" t="str">
        <f t="shared" ref="BQ30:CE30" si="12">IF(BQ$9=$M30,$P30,IF(BQ$9=$Q30,$T30,IF(BQ$9=$U30,$X30,IF(BQ$9=$Y30,$AB30,IF(BQ$9=$L30,"ПС",IF(BQ$9=$I30,"КС",IF(AND(BQ$9&lt;$I30,BQ$9&gt;$L30),"--","")))))))</f>
        <v/>
      </c>
      <c r="BR30" s="154" t="str">
        <f t="shared" si="12"/>
        <v/>
      </c>
      <c r="BS30" s="154" t="str">
        <f t="shared" si="12"/>
        <v/>
      </c>
      <c r="BT30" s="154" t="str">
        <f t="shared" si="12"/>
        <v/>
      </c>
      <c r="BU30" s="154" t="str">
        <f t="shared" si="12"/>
        <v/>
      </c>
      <c r="BV30" s="154" t="str">
        <f t="shared" si="12"/>
        <v/>
      </c>
      <c r="BW30" s="154" t="str">
        <f t="shared" si="12"/>
        <v/>
      </c>
      <c r="BX30" s="154" t="str">
        <f t="shared" si="12"/>
        <v/>
      </c>
      <c r="BY30" s="154" t="str">
        <f t="shared" si="12"/>
        <v/>
      </c>
      <c r="BZ30" s="154" t="str">
        <f t="shared" si="12"/>
        <v/>
      </c>
      <c r="CA30" s="154" t="str">
        <f t="shared" si="12"/>
        <v/>
      </c>
      <c r="CB30" s="154" t="str">
        <f t="shared" si="12"/>
        <v/>
      </c>
      <c r="CC30" s="154" t="str">
        <f t="shared" si="12"/>
        <v/>
      </c>
      <c r="CD30" s="154" t="str">
        <f t="shared" si="12"/>
        <v/>
      </c>
      <c r="CE30" s="154" t="str">
        <f t="shared" si="12"/>
        <v/>
      </c>
      <c r="CF30" s="155">
        <f t="shared" si="4"/>
        <v>0</v>
      </c>
      <c r="CG30" s="156">
        <f t="shared" si="5"/>
        <v>0</v>
      </c>
    </row>
    <row r="31" spans="1:85" ht="12" customHeight="1">
      <c r="A31" s="149">
        <v>21</v>
      </c>
      <c r="B31" s="150" t="s">
        <v>341</v>
      </c>
      <c r="C31" s="150" t="s">
        <v>342</v>
      </c>
      <c r="D31" s="150" t="s">
        <v>387</v>
      </c>
      <c r="E31" s="173">
        <v>2</v>
      </c>
      <c r="F31" s="297"/>
      <c r="G31" s="175">
        <f t="shared" si="2"/>
        <v>2</v>
      </c>
      <c r="H31" s="150"/>
      <c r="I31" s="200"/>
      <c r="J31" s="150"/>
      <c r="K31" s="150"/>
      <c r="L31" s="150"/>
      <c r="M31" s="151"/>
      <c r="N31" s="149"/>
      <c r="O31" s="149"/>
      <c r="P31" s="152"/>
      <c r="Q31" s="151"/>
      <c r="R31" s="149"/>
      <c r="S31" s="149"/>
      <c r="T31" s="152"/>
      <c r="U31" s="151"/>
      <c r="V31" s="149"/>
      <c r="W31" s="149"/>
      <c r="X31" s="152"/>
      <c r="Y31" s="151"/>
      <c r="Z31" s="149"/>
      <c r="AA31" s="149"/>
      <c r="AB31" s="152"/>
      <c r="AC31" s="153"/>
      <c r="AD31" s="154" t="str">
        <f t="shared" ref="AD31:CE34" si="13">IF(AD$9=$M31,$P31,IF(AD$9=$Q31,$T31,IF(AD$9=$U31,$X31,IF(AD$9=$Y31,$AB31,IF(AD$9=$L31,"ПС",IF(AD$9=$I31,"КС",IF(AND(AD$9&lt;$I31,AD$9&gt;$L31),"--","")))))))</f>
        <v/>
      </c>
      <c r="AE31" s="154" t="str">
        <f t="shared" si="13"/>
        <v/>
      </c>
      <c r="AF31" s="154" t="str">
        <f t="shared" si="13"/>
        <v/>
      </c>
      <c r="AG31" s="154" t="str">
        <f t="shared" si="13"/>
        <v/>
      </c>
      <c r="AH31" s="154" t="str">
        <f t="shared" si="13"/>
        <v/>
      </c>
      <c r="AI31" s="154" t="str">
        <f t="shared" si="13"/>
        <v/>
      </c>
      <c r="AJ31" s="154" t="str">
        <f t="shared" si="13"/>
        <v/>
      </c>
      <c r="AK31" s="154" t="str">
        <f t="shared" si="13"/>
        <v/>
      </c>
      <c r="AL31" s="154" t="str">
        <f t="shared" si="13"/>
        <v/>
      </c>
      <c r="AM31" s="154" t="str">
        <f t="shared" si="13"/>
        <v/>
      </c>
      <c r="AN31" s="154" t="str">
        <f t="shared" si="13"/>
        <v/>
      </c>
      <c r="AO31" s="154" t="str">
        <f t="shared" si="13"/>
        <v/>
      </c>
      <c r="AP31" s="154" t="str">
        <f t="shared" si="13"/>
        <v/>
      </c>
      <c r="AQ31" s="154" t="str">
        <f t="shared" si="13"/>
        <v/>
      </c>
      <c r="AR31" s="154" t="str">
        <f t="shared" si="13"/>
        <v/>
      </c>
      <c r="AS31" s="154" t="str">
        <f t="shared" si="13"/>
        <v/>
      </c>
      <c r="AT31" s="154" t="str">
        <f t="shared" si="13"/>
        <v/>
      </c>
      <c r="AU31" s="154" t="str">
        <f t="shared" si="13"/>
        <v/>
      </c>
      <c r="AV31" s="154" t="str">
        <f t="shared" si="13"/>
        <v/>
      </c>
      <c r="AW31" s="154" t="str">
        <f t="shared" si="13"/>
        <v/>
      </c>
      <c r="AX31" s="154" t="str">
        <f t="shared" si="13"/>
        <v/>
      </c>
      <c r="AY31" s="154" t="str">
        <f t="shared" si="13"/>
        <v/>
      </c>
      <c r="AZ31" s="154" t="str">
        <f t="shared" si="13"/>
        <v/>
      </c>
      <c r="BA31" s="154" t="str">
        <f t="shared" si="13"/>
        <v/>
      </c>
      <c r="BB31" s="154" t="str">
        <f t="shared" si="13"/>
        <v/>
      </c>
      <c r="BC31" s="154" t="str">
        <f t="shared" si="13"/>
        <v/>
      </c>
      <c r="BD31" s="154" t="str">
        <f t="shared" si="13"/>
        <v/>
      </c>
      <c r="BE31" s="154" t="str">
        <f t="shared" si="13"/>
        <v/>
      </c>
      <c r="BF31" s="154" t="str">
        <f t="shared" si="13"/>
        <v/>
      </c>
      <c r="BG31" s="154" t="str">
        <f t="shared" si="13"/>
        <v/>
      </c>
      <c r="BH31" s="154" t="str">
        <f t="shared" si="13"/>
        <v/>
      </c>
      <c r="BI31" s="154" t="str">
        <f t="shared" si="13"/>
        <v/>
      </c>
      <c r="BJ31" s="154" t="str">
        <f t="shared" si="13"/>
        <v/>
      </c>
      <c r="BK31" s="154" t="str">
        <f t="shared" si="13"/>
        <v/>
      </c>
      <c r="BL31" s="154" t="str">
        <f t="shared" si="13"/>
        <v/>
      </c>
      <c r="BM31" s="154" t="str">
        <f t="shared" si="13"/>
        <v/>
      </c>
      <c r="BN31" s="154" t="str">
        <f t="shared" si="13"/>
        <v/>
      </c>
      <c r="BO31" s="154" t="str">
        <f t="shared" si="13"/>
        <v/>
      </c>
      <c r="BP31" s="154" t="str">
        <f t="shared" si="13"/>
        <v/>
      </c>
      <c r="BQ31" s="154" t="str">
        <f t="shared" si="13"/>
        <v/>
      </c>
      <c r="BR31" s="154" t="str">
        <f t="shared" si="13"/>
        <v/>
      </c>
      <c r="BS31" s="154" t="str">
        <f t="shared" si="13"/>
        <v/>
      </c>
      <c r="BT31" s="154" t="str">
        <f t="shared" si="13"/>
        <v/>
      </c>
      <c r="BU31" s="154" t="str">
        <f t="shared" si="13"/>
        <v/>
      </c>
      <c r="BV31" s="154" t="str">
        <f t="shared" si="13"/>
        <v/>
      </c>
      <c r="BW31" s="154" t="str">
        <f t="shared" si="13"/>
        <v/>
      </c>
      <c r="BX31" s="154" t="str">
        <f t="shared" si="13"/>
        <v/>
      </c>
      <c r="BY31" s="154" t="str">
        <f t="shared" si="13"/>
        <v/>
      </c>
      <c r="BZ31" s="154" t="str">
        <f t="shared" si="13"/>
        <v/>
      </c>
      <c r="CA31" s="154" t="str">
        <f t="shared" si="13"/>
        <v/>
      </c>
      <c r="CB31" s="154" t="str">
        <f t="shared" si="13"/>
        <v/>
      </c>
      <c r="CC31" s="154" t="str">
        <f t="shared" si="13"/>
        <v/>
      </c>
      <c r="CD31" s="154" t="str">
        <f t="shared" si="13"/>
        <v/>
      </c>
      <c r="CE31" s="154" t="str">
        <f t="shared" si="13"/>
        <v/>
      </c>
      <c r="CF31" s="155">
        <f t="shared" si="4"/>
        <v>0</v>
      </c>
      <c r="CG31" s="156">
        <f t="shared" si="5"/>
        <v>0</v>
      </c>
    </row>
    <row r="32" spans="1:85" ht="12" customHeight="1">
      <c r="A32" s="149">
        <v>22</v>
      </c>
      <c r="B32" s="150" t="s">
        <v>345</v>
      </c>
      <c r="C32" s="150" t="s">
        <v>342</v>
      </c>
      <c r="D32" s="150" t="s">
        <v>387</v>
      </c>
      <c r="E32" s="173">
        <v>1</v>
      </c>
      <c r="F32" s="297"/>
      <c r="G32" s="175">
        <f t="shared" si="2"/>
        <v>1</v>
      </c>
      <c r="H32" s="150"/>
      <c r="I32" s="200"/>
      <c r="J32" s="150"/>
      <c r="K32" s="150"/>
      <c r="L32" s="150"/>
      <c r="M32" s="151"/>
      <c r="N32" s="149"/>
      <c r="O32" s="149"/>
      <c r="P32" s="152"/>
      <c r="Q32" s="151"/>
      <c r="R32" s="149"/>
      <c r="S32" s="149"/>
      <c r="T32" s="152"/>
      <c r="U32" s="151"/>
      <c r="V32" s="149"/>
      <c r="W32" s="149"/>
      <c r="X32" s="152"/>
      <c r="Y32" s="151"/>
      <c r="Z32" s="149"/>
      <c r="AA32" s="149"/>
      <c r="AB32" s="152"/>
      <c r="AC32" s="153"/>
      <c r="AD32" s="154" t="str">
        <f t="shared" si="13"/>
        <v/>
      </c>
      <c r="AE32" s="154" t="str">
        <f t="shared" si="13"/>
        <v/>
      </c>
      <c r="AF32" s="154" t="str">
        <f t="shared" si="13"/>
        <v/>
      </c>
      <c r="AG32" s="154" t="str">
        <f t="shared" si="13"/>
        <v/>
      </c>
      <c r="AH32" s="154" t="str">
        <f t="shared" si="13"/>
        <v/>
      </c>
      <c r="AI32" s="154" t="str">
        <f t="shared" si="13"/>
        <v/>
      </c>
      <c r="AJ32" s="154" t="str">
        <f t="shared" si="13"/>
        <v/>
      </c>
      <c r="AK32" s="154" t="str">
        <f t="shared" si="13"/>
        <v/>
      </c>
      <c r="AL32" s="154" t="str">
        <f t="shared" si="13"/>
        <v/>
      </c>
      <c r="AM32" s="154" t="str">
        <f t="shared" si="13"/>
        <v/>
      </c>
      <c r="AN32" s="154" t="str">
        <f t="shared" si="13"/>
        <v/>
      </c>
      <c r="AO32" s="154" t="str">
        <f t="shared" si="13"/>
        <v/>
      </c>
      <c r="AP32" s="154" t="str">
        <f t="shared" si="13"/>
        <v/>
      </c>
      <c r="AQ32" s="154" t="str">
        <f t="shared" si="13"/>
        <v/>
      </c>
      <c r="AR32" s="154" t="str">
        <f t="shared" si="13"/>
        <v/>
      </c>
      <c r="AS32" s="154" t="str">
        <f t="shared" si="13"/>
        <v/>
      </c>
      <c r="AT32" s="154" t="str">
        <f t="shared" si="13"/>
        <v/>
      </c>
      <c r="AU32" s="154" t="str">
        <f t="shared" si="13"/>
        <v/>
      </c>
      <c r="AV32" s="154" t="str">
        <f t="shared" si="13"/>
        <v/>
      </c>
      <c r="AW32" s="154" t="str">
        <f t="shared" si="13"/>
        <v/>
      </c>
      <c r="AX32" s="154" t="str">
        <f t="shared" si="13"/>
        <v/>
      </c>
      <c r="AY32" s="154" t="str">
        <f t="shared" si="13"/>
        <v/>
      </c>
      <c r="AZ32" s="154" t="str">
        <f t="shared" si="13"/>
        <v/>
      </c>
      <c r="BA32" s="154" t="str">
        <f t="shared" si="13"/>
        <v/>
      </c>
      <c r="BB32" s="154" t="str">
        <f t="shared" si="13"/>
        <v/>
      </c>
      <c r="BC32" s="154" t="str">
        <f t="shared" si="13"/>
        <v/>
      </c>
      <c r="BD32" s="154" t="str">
        <f t="shared" si="13"/>
        <v/>
      </c>
      <c r="BE32" s="154" t="str">
        <f t="shared" si="13"/>
        <v/>
      </c>
      <c r="BF32" s="154" t="str">
        <f t="shared" si="13"/>
        <v/>
      </c>
      <c r="BG32" s="154" t="str">
        <f t="shared" si="13"/>
        <v/>
      </c>
      <c r="BH32" s="154" t="str">
        <f t="shared" si="13"/>
        <v/>
      </c>
      <c r="BI32" s="154" t="str">
        <f t="shared" si="13"/>
        <v/>
      </c>
      <c r="BJ32" s="154" t="str">
        <f t="shared" si="13"/>
        <v/>
      </c>
      <c r="BK32" s="154" t="str">
        <f t="shared" si="13"/>
        <v/>
      </c>
      <c r="BL32" s="154" t="str">
        <f t="shared" si="13"/>
        <v/>
      </c>
      <c r="BM32" s="154" t="str">
        <f t="shared" si="13"/>
        <v/>
      </c>
      <c r="BN32" s="154" t="str">
        <f t="shared" si="13"/>
        <v/>
      </c>
      <c r="BO32" s="154" t="str">
        <f t="shared" si="13"/>
        <v/>
      </c>
      <c r="BP32" s="154" t="str">
        <f t="shared" si="13"/>
        <v/>
      </c>
      <c r="BQ32" s="154" t="str">
        <f t="shared" si="13"/>
        <v/>
      </c>
      <c r="BR32" s="154" t="str">
        <f t="shared" si="13"/>
        <v/>
      </c>
      <c r="BS32" s="154" t="str">
        <f t="shared" si="13"/>
        <v/>
      </c>
      <c r="BT32" s="154" t="str">
        <f t="shared" si="13"/>
        <v/>
      </c>
      <c r="BU32" s="154" t="str">
        <f t="shared" si="13"/>
        <v/>
      </c>
      <c r="BV32" s="154" t="str">
        <f t="shared" si="13"/>
        <v/>
      </c>
      <c r="BW32" s="154" t="str">
        <f t="shared" si="13"/>
        <v/>
      </c>
      <c r="BX32" s="154" t="str">
        <f t="shared" si="13"/>
        <v/>
      </c>
      <c r="BY32" s="154" t="str">
        <f t="shared" si="13"/>
        <v/>
      </c>
      <c r="BZ32" s="154" t="str">
        <f t="shared" si="13"/>
        <v/>
      </c>
      <c r="CA32" s="154" t="str">
        <f t="shared" si="13"/>
        <v/>
      </c>
      <c r="CB32" s="154" t="str">
        <f t="shared" si="13"/>
        <v/>
      </c>
      <c r="CC32" s="154" t="str">
        <f t="shared" si="13"/>
        <v/>
      </c>
      <c r="CD32" s="154" t="str">
        <f t="shared" si="13"/>
        <v/>
      </c>
      <c r="CE32" s="154" t="str">
        <f t="shared" si="13"/>
        <v/>
      </c>
      <c r="CF32" s="155">
        <f t="shared" si="4"/>
        <v>0</v>
      </c>
      <c r="CG32" s="156">
        <f t="shared" si="5"/>
        <v>0</v>
      </c>
    </row>
    <row r="33" spans="1:85" ht="12" customHeight="1">
      <c r="A33" s="149">
        <v>23</v>
      </c>
      <c r="B33" s="150" t="s">
        <v>346</v>
      </c>
      <c r="C33" s="150" t="s">
        <v>347</v>
      </c>
      <c r="D33" s="150" t="s">
        <v>387</v>
      </c>
      <c r="E33" s="173">
        <v>1</v>
      </c>
      <c r="F33" s="297"/>
      <c r="G33" s="175">
        <f t="shared" si="2"/>
        <v>1</v>
      </c>
      <c r="H33" s="150"/>
      <c r="I33" s="200"/>
      <c r="J33" s="150"/>
      <c r="K33" s="150"/>
      <c r="L33" s="150"/>
      <c r="M33" s="151"/>
      <c r="N33" s="149"/>
      <c r="O33" s="149"/>
      <c r="P33" s="152"/>
      <c r="Q33" s="151"/>
      <c r="R33" s="149"/>
      <c r="S33" s="149"/>
      <c r="T33" s="152"/>
      <c r="U33" s="151"/>
      <c r="V33" s="149"/>
      <c r="W33" s="149"/>
      <c r="X33" s="152"/>
      <c r="Y33" s="151"/>
      <c r="Z33" s="149"/>
      <c r="AA33" s="149"/>
      <c r="AB33" s="152"/>
      <c r="AC33" s="153"/>
      <c r="AD33" s="154" t="str">
        <f t="shared" si="13"/>
        <v/>
      </c>
      <c r="AE33" s="154" t="str">
        <f t="shared" si="13"/>
        <v/>
      </c>
      <c r="AF33" s="154" t="str">
        <f t="shared" si="13"/>
        <v/>
      </c>
      <c r="AG33" s="154" t="str">
        <f t="shared" si="13"/>
        <v/>
      </c>
      <c r="AH33" s="154" t="str">
        <f t="shared" si="13"/>
        <v/>
      </c>
      <c r="AI33" s="154" t="str">
        <f t="shared" si="13"/>
        <v/>
      </c>
      <c r="AJ33" s="154" t="str">
        <f t="shared" si="13"/>
        <v/>
      </c>
      <c r="AK33" s="154" t="str">
        <f t="shared" si="13"/>
        <v/>
      </c>
      <c r="AL33" s="154" t="str">
        <f t="shared" si="13"/>
        <v/>
      </c>
      <c r="AM33" s="154" t="str">
        <f t="shared" si="13"/>
        <v/>
      </c>
      <c r="AN33" s="154" t="str">
        <f t="shared" si="13"/>
        <v/>
      </c>
      <c r="AO33" s="154" t="str">
        <f t="shared" si="13"/>
        <v/>
      </c>
      <c r="AP33" s="154" t="str">
        <f t="shared" si="13"/>
        <v/>
      </c>
      <c r="AQ33" s="154" t="str">
        <f t="shared" si="13"/>
        <v/>
      </c>
      <c r="AR33" s="154" t="str">
        <f t="shared" si="13"/>
        <v/>
      </c>
      <c r="AS33" s="154" t="str">
        <f t="shared" si="13"/>
        <v/>
      </c>
      <c r="AT33" s="154" t="str">
        <f t="shared" si="13"/>
        <v/>
      </c>
      <c r="AU33" s="154" t="str">
        <f t="shared" si="13"/>
        <v/>
      </c>
      <c r="AV33" s="154" t="str">
        <f t="shared" si="13"/>
        <v/>
      </c>
      <c r="AW33" s="154" t="str">
        <f t="shared" si="13"/>
        <v/>
      </c>
      <c r="AX33" s="154" t="str">
        <f t="shared" si="13"/>
        <v/>
      </c>
      <c r="AY33" s="154" t="str">
        <f t="shared" si="13"/>
        <v/>
      </c>
      <c r="AZ33" s="154" t="str">
        <f t="shared" si="13"/>
        <v/>
      </c>
      <c r="BA33" s="154" t="str">
        <f t="shared" si="13"/>
        <v/>
      </c>
      <c r="BB33" s="154" t="str">
        <f t="shared" si="13"/>
        <v/>
      </c>
      <c r="BC33" s="154" t="str">
        <f t="shared" si="13"/>
        <v/>
      </c>
      <c r="BD33" s="154" t="str">
        <f t="shared" si="13"/>
        <v/>
      </c>
      <c r="BE33" s="154" t="str">
        <f t="shared" si="13"/>
        <v/>
      </c>
      <c r="BF33" s="154" t="str">
        <f t="shared" si="13"/>
        <v/>
      </c>
      <c r="BG33" s="154" t="str">
        <f t="shared" si="13"/>
        <v/>
      </c>
      <c r="BH33" s="154" t="str">
        <f t="shared" si="13"/>
        <v/>
      </c>
      <c r="BI33" s="154" t="str">
        <f t="shared" si="13"/>
        <v/>
      </c>
      <c r="BJ33" s="154" t="str">
        <f t="shared" si="13"/>
        <v/>
      </c>
      <c r="BK33" s="154" t="str">
        <f t="shared" si="13"/>
        <v/>
      </c>
      <c r="BL33" s="154" t="str">
        <f t="shared" si="13"/>
        <v/>
      </c>
      <c r="BM33" s="154" t="str">
        <f t="shared" si="13"/>
        <v/>
      </c>
      <c r="BN33" s="154" t="str">
        <f t="shared" si="13"/>
        <v/>
      </c>
      <c r="BO33" s="154" t="str">
        <f t="shared" si="13"/>
        <v/>
      </c>
      <c r="BP33" s="154" t="str">
        <f t="shared" si="13"/>
        <v/>
      </c>
      <c r="BQ33" s="154" t="str">
        <f t="shared" si="13"/>
        <v/>
      </c>
      <c r="BR33" s="154" t="str">
        <f t="shared" si="13"/>
        <v/>
      </c>
      <c r="BS33" s="154" t="str">
        <f t="shared" si="13"/>
        <v/>
      </c>
      <c r="BT33" s="154" t="str">
        <f t="shared" si="13"/>
        <v/>
      </c>
      <c r="BU33" s="154" t="str">
        <f t="shared" si="13"/>
        <v/>
      </c>
      <c r="BV33" s="154" t="str">
        <f t="shared" si="13"/>
        <v/>
      </c>
      <c r="BW33" s="154" t="str">
        <f t="shared" si="13"/>
        <v/>
      </c>
      <c r="BX33" s="154" t="str">
        <f t="shared" si="13"/>
        <v/>
      </c>
      <c r="BY33" s="154" t="str">
        <f t="shared" si="13"/>
        <v/>
      </c>
      <c r="BZ33" s="154" t="str">
        <f t="shared" si="13"/>
        <v/>
      </c>
      <c r="CA33" s="154" t="str">
        <f t="shared" si="13"/>
        <v/>
      </c>
      <c r="CB33" s="154" t="str">
        <f t="shared" si="13"/>
        <v/>
      </c>
      <c r="CC33" s="154" t="str">
        <f t="shared" si="13"/>
        <v/>
      </c>
      <c r="CD33" s="154" t="str">
        <f t="shared" si="13"/>
        <v/>
      </c>
      <c r="CE33" s="154" t="str">
        <f t="shared" si="13"/>
        <v/>
      </c>
      <c r="CF33" s="155">
        <f t="shared" si="4"/>
        <v>0</v>
      </c>
      <c r="CG33" s="156">
        <f t="shared" si="5"/>
        <v>0</v>
      </c>
    </row>
    <row r="34" spans="1:85" ht="12" customHeight="1">
      <c r="A34" s="149">
        <v>24</v>
      </c>
      <c r="B34" s="150" t="s">
        <v>343</v>
      </c>
      <c r="C34" s="150" t="s">
        <v>344</v>
      </c>
      <c r="D34" s="150" t="s">
        <v>387</v>
      </c>
      <c r="E34" s="173">
        <v>4</v>
      </c>
      <c r="F34" s="297"/>
      <c r="G34" s="175">
        <f t="shared" si="2"/>
        <v>4</v>
      </c>
      <c r="H34" s="150"/>
      <c r="I34" s="200"/>
      <c r="J34" s="150"/>
      <c r="K34" s="150"/>
      <c r="L34" s="150"/>
      <c r="M34" s="151"/>
      <c r="N34" s="149"/>
      <c r="O34" s="149"/>
      <c r="P34" s="152"/>
      <c r="Q34" s="151"/>
      <c r="R34" s="149"/>
      <c r="S34" s="149"/>
      <c r="T34" s="152"/>
      <c r="U34" s="151"/>
      <c r="V34" s="149"/>
      <c r="W34" s="149"/>
      <c r="X34" s="152"/>
      <c r="Y34" s="151"/>
      <c r="Z34" s="149"/>
      <c r="AA34" s="149"/>
      <c r="AB34" s="152"/>
      <c r="AC34" s="153"/>
      <c r="AD34" s="154" t="str">
        <f t="shared" si="13"/>
        <v/>
      </c>
      <c r="AE34" s="154" t="str">
        <f t="shared" si="13"/>
        <v/>
      </c>
      <c r="AF34" s="154" t="str">
        <f t="shared" si="13"/>
        <v/>
      </c>
      <c r="AG34" s="154" t="str">
        <f t="shared" si="13"/>
        <v/>
      </c>
      <c r="AH34" s="154" t="str">
        <f t="shared" si="13"/>
        <v/>
      </c>
      <c r="AI34" s="154" t="str">
        <f t="shared" si="13"/>
        <v/>
      </c>
      <c r="AJ34" s="154" t="str">
        <f t="shared" si="13"/>
        <v/>
      </c>
      <c r="AK34" s="154" t="str">
        <f t="shared" si="13"/>
        <v/>
      </c>
      <c r="AL34" s="154" t="str">
        <f t="shared" si="13"/>
        <v/>
      </c>
      <c r="AM34" s="154" t="str">
        <f t="shared" si="13"/>
        <v/>
      </c>
      <c r="AN34" s="154" t="str">
        <f t="shared" si="13"/>
        <v/>
      </c>
      <c r="AO34" s="154" t="str">
        <f t="shared" si="13"/>
        <v/>
      </c>
      <c r="AP34" s="154" t="str">
        <f t="shared" si="13"/>
        <v/>
      </c>
      <c r="AQ34" s="154" t="str">
        <f t="shared" si="13"/>
        <v/>
      </c>
      <c r="AR34" s="154" t="str">
        <f t="shared" si="13"/>
        <v/>
      </c>
      <c r="AS34" s="154" t="str">
        <f t="shared" si="13"/>
        <v/>
      </c>
      <c r="AT34" s="154" t="str">
        <f t="shared" si="13"/>
        <v/>
      </c>
      <c r="AU34" s="154" t="str">
        <f t="shared" si="13"/>
        <v/>
      </c>
      <c r="AV34" s="154" t="str">
        <f t="shared" si="13"/>
        <v/>
      </c>
      <c r="AW34" s="154" t="str">
        <f t="shared" si="13"/>
        <v/>
      </c>
      <c r="AX34" s="154" t="str">
        <f t="shared" si="13"/>
        <v/>
      </c>
      <c r="AY34" s="154" t="str">
        <f t="shared" si="13"/>
        <v/>
      </c>
      <c r="AZ34" s="154" t="str">
        <f t="shared" si="13"/>
        <v/>
      </c>
      <c r="BA34" s="154" t="str">
        <f t="shared" si="13"/>
        <v/>
      </c>
      <c r="BB34" s="154" t="str">
        <f t="shared" si="13"/>
        <v/>
      </c>
      <c r="BC34" s="154" t="str">
        <f t="shared" si="13"/>
        <v/>
      </c>
      <c r="BD34" s="154" t="str">
        <f t="shared" si="13"/>
        <v/>
      </c>
      <c r="BE34" s="154" t="str">
        <f t="shared" si="13"/>
        <v/>
      </c>
      <c r="BF34" s="154" t="str">
        <f t="shared" si="13"/>
        <v/>
      </c>
      <c r="BG34" s="154" t="str">
        <f t="shared" si="13"/>
        <v/>
      </c>
      <c r="BH34" s="154" t="str">
        <f t="shared" si="13"/>
        <v/>
      </c>
      <c r="BI34" s="154" t="str">
        <f t="shared" si="13"/>
        <v/>
      </c>
      <c r="BJ34" s="154" t="str">
        <f t="shared" si="13"/>
        <v/>
      </c>
      <c r="BK34" s="154" t="str">
        <f t="shared" si="13"/>
        <v/>
      </c>
      <c r="BL34" s="154" t="str">
        <f t="shared" si="13"/>
        <v/>
      </c>
      <c r="BM34" s="154" t="str">
        <f t="shared" si="13"/>
        <v/>
      </c>
      <c r="BN34" s="154" t="str">
        <f t="shared" si="13"/>
        <v/>
      </c>
      <c r="BO34" s="154" t="str">
        <f t="shared" si="13"/>
        <v/>
      </c>
      <c r="BP34" s="154" t="str">
        <f t="shared" si="13"/>
        <v/>
      </c>
      <c r="BQ34" s="154" t="str">
        <f t="shared" si="13"/>
        <v/>
      </c>
      <c r="BR34" s="154" t="str">
        <f t="shared" si="13"/>
        <v/>
      </c>
      <c r="BS34" s="154" t="str">
        <f t="shared" si="13"/>
        <v/>
      </c>
      <c r="BT34" s="154" t="str">
        <f t="shared" si="13"/>
        <v/>
      </c>
      <c r="BU34" s="154" t="str">
        <f t="shared" si="13"/>
        <v/>
      </c>
      <c r="BV34" s="154" t="str">
        <f t="shared" si="13"/>
        <v/>
      </c>
      <c r="BW34" s="154" t="str">
        <f t="shared" si="13"/>
        <v/>
      </c>
      <c r="BX34" s="154" t="str">
        <f t="shared" si="13"/>
        <v/>
      </c>
      <c r="BY34" s="154" t="str">
        <f t="shared" si="13"/>
        <v/>
      </c>
      <c r="BZ34" s="154" t="str">
        <f t="shared" si="13"/>
        <v/>
      </c>
      <c r="CA34" s="154" t="str">
        <f t="shared" si="13"/>
        <v/>
      </c>
      <c r="CB34" s="154" t="str">
        <f t="shared" si="13"/>
        <v/>
      </c>
      <c r="CC34" s="154" t="str">
        <f t="shared" si="13"/>
        <v/>
      </c>
      <c r="CD34" s="154" t="str">
        <f t="shared" si="13"/>
        <v/>
      </c>
      <c r="CE34" s="154" t="str">
        <f t="shared" si="13"/>
        <v/>
      </c>
      <c r="CF34" s="155">
        <f t="shared" si="4"/>
        <v>0</v>
      </c>
      <c r="CG34" s="156">
        <f t="shared" si="5"/>
        <v>0</v>
      </c>
    </row>
    <row r="35" spans="1:85" s="148" customFormat="1" ht="15" customHeight="1">
      <c r="A35" s="294" t="s">
        <v>280</v>
      </c>
      <c r="B35" s="295"/>
      <c r="C35" s="139"/>
      <c r="D35" s="139"/>
      <c r="E35" s="139"/>
      <c r="F35" s="297"/>
      <c r="G35" s="139"/>
      <c r="H35" s="140"/>
      <c r="I35" s="140"/>
      <c r="J35" s="140"/>
      <c r="K35" s="141"/>
      <c r="L35" s="141"/>
      <c r="M35" s="142"/>
      <c r="N35" s="143"/>
      <c r="O35" s="143"/>
      <c r="P35" s="144"/>
      <c r="Q35" s="142"/>
      <c r="R35" s="143"/>
      <c r="S35" s="143"/>
      <c r="T35" s="144"/>
      <c r="U35" s="142"/>
      <c r="V35" s="143"/>
      <c r="W35" s="143"/>
      <c r="X35" s="144"/>
      <c r="Y35" s="142"/>
      <c r="Z35" s="143"/>
      <c r="AA35" s="143"/>
      <c r="AB35" s="144"/>
      <c r="AC35" s="143"/>
      <c r="AD35" s="145" t="str">
        <f>IF(OR(WEEKDAY(AD$9)=1,WEEKDAY(AD$9)=7),"В",IF(AD$9=$H$3,"О",""))</f>
        <v/>
      </c>
      <c r="AE35" s="145" t="str">
        <f t="shared" ref="AE35:CE35" si="14">IF(OR(WEEKDAY(AE$9)=1,WEEKDAY(AE$9)=7),"В",IF(AE$9=$H$3,"О",""))</f>
        <v/>
      </c>
      <c r="AF35" s="145" t="str">
        <f t="shared" si="14"/>
        <v/>
      </c>
      <c r="AG35" s="145" t="str">
        <f t="shared" si="14"/>
        <v>В</v>
      </c>
      <c r="AH35" s="145" t="str">
        <f t="shared" si="14"/>
        <v>В</v>
      </c>
      <c r="AI35" s="145" t="str">
        <f t="shared" si="14"/>
        <v/>
      </c>
      <c r="AJ35" s="145" t="str">
        <f t="shared" si="14"/>
        <v/>
      </c>
      <c r="AK35" s="145" t="str">
        <f t="shared" si="14"/>
        <v/>
      </c>
      <c r="AL35" s="145" t="str">
        <f t="shared" si="14"/>
        <v/>
      </c>
      <c r="AM35" s="145" t="str">
        <f t="shared" si="14"/>
        <v/>
      </c>
      <c r="AN35" s="145" t="str">
        <f t="shared" si="14"/>
        <v>В</v>
      </c>
      <c r="AO35" s="145" t="str">
        <f t="shared" si="14"/>
        <v>В</v>
      </c>
      <c r="AP35" s="145" t="str">
        <f t="shared" si="14"/>
        <v/>
      </c>
      <c r="AQ35" s="145" t="str">
        <f t="shared" si="14"/>
        <v/>
      </c>
      <c r="AR35" s="145" t="str">
        <f t="shared" si="14"/>
        <v/>
      </c>
      <c r="AS35" s="145" t="str">
        <f t="shared" si="14"/>
        <v/>
      </c>
      <c r="AT35" s="145" t="str">
        <f t="shared" si="14"/>
        <v/>
      </c>
      <c r="AU35" s="145" t="str">
        <f t="shared" si="14"/>
        <v>В</v>
      </c>
      <c r="AV35" s="145" t="str">
        <f t="shared" si="14"/>
        <v>В</v>
      </c>
      <c r="AW35" s="145" t="str">
        <f t="shared" si="14"/>
        <v/>
      </c>
      <c r="AX35" s="145" t="str">
        <f t="shared" si="14"/>
        <v/>
      </c>
      <c r="AY35" s="145" t="str">
        <f t="shared" si="14"/>
        <v/>
      </c>
      <c r="AZ35" s="145" t="str">
        <f t="shared" si="14"/>
        <v/>
      </c>
      <c r="BA35" s="145" t="str">
        <f t="shared" si="14"/>
        <v/>
      </c>
      <c r="BB35" s="145" t="str">
        <f t="shared" si="14"/>
        <v>В</v>
      </c>
      <c r="BC35" s="145" t="str">
        <f t="shared" si="14"/>
        <v>В</v>
      </c>
      <c r="BD35" s="145" t="str">
        <f t="shared" si="14"/>
        <v/>
      </c>
      <c r="BE35" s="145" t="str">
        <f t="shared" si="14"/>
        <v/>
      </c>
      <c r="BF35" s="145" t="str">
        <f t="shared" si="14"/>
        <v/>
      </c>
      <c r="BG35" s="145" t="str">
        <f t="shared" si="14"/>
        <v/>
      </c>
      <c r="BH35" s="145" t="str">
        <f t="shared" si="14"/>
        <v/>
      </c>
      <c r="BI35" s="145" t="str">
        <f t="shared" si="14"/>
        <v>В</v>
      </c>
      <c r="BJ35" s="145" t="str">
        <f t="shared" si="14"/>
        <v>В</v>
      </c>
      <c r="BK35" s="145" t="str">
        <f t="shared" si="14"/>
        <v/>
      </c>
      <c r="BL35" s="145" t="str">
        <f t="shared" si="14"/>
        <v/>
      </c>
      <c r="BM35" s="145" t="str">
        <f t="shared" si="14"/>
        <v/>
      </c>
      <c r="BN35" s="145" t="str">
        <f t="shared" si="14"/>
        <v/>
      </c>
      <c r="BO35" s="145" t="str">
        <f t="shared" si="14"/>
        <v/>
      </c>
      <c r="BP35" s="145" t="str">
        <f t="shared" si="14"/>
        <v>В</v>
      </c>
      <c r="BQ35" s="145" t="str">
        <f t="shared" si="14"/>
        <v>В</v>
      </c>
      <c r="BR35" s="145" t="str">
        <f t="shared" si="14"/>
        <v/>
      </c>
      <c r="BS35" s="145" t="str">
        <f t="shared" si="14"/>
        <v/>
      </c>
      <c r="BT35" s="145" t="str">
        <f t="shared" si="14"/>
        <v/>
      </c>
      <c r="BU35" s="145" t="str">
        <f t="shared" si="14"/>
        <v/>
      </c>
      <c r="BV35" s="145" t="str">
        <f t="shared" si="14"/>
        <v/>
      </c>
      <c r="BW35" s="145" t="str">
        <f t="shared" si="14"/>
        <v>В</v>
      </c>
      <c r="BX35" s="145" t="str">
        <f t="shared" si="14"/>
        <v>В</v>
      </c>
      <c r="BY35" s="145" t="str">
        <f t="shared" si="14"/>
        <v/>
      </c>
      <c r="BZ35" s="145" t="str">
        <f t="shared" si="14"/>
        <v/>
      </c>
      <c r="CA35" s="145" t="str">
        <f t="shared" si="14"/>
        <v/>
      </c>
      <c r="CB35" s="145" t="str">
        <f t="shared" si="14"/>
        <v/>
      </c>
      <c r="CC35" s="145" t="str">
        <f t="shared" si="14"/>
        <v/>
      </c>
      <c r="CD35" s="145" t="str">
        <f t="shared" si="14"/>
        <v>В</v>
      </c>
      <c r="CE35" s="145" t="str">
        <f t="shared" si="14"/>
        <v>В</v>
      </c>
      <c r="CF35" s="146"/>
      <c r="CG35" s="147"/>
    </row>
    <row r="36" spans="1:85" ht="12" customHeight="1">
      <c r="A36" s="149">
        <v>1</v>
      </c>
      <c r="B36" s="150" t="s">
        <v>276</v>
      </c>
      <c r="C36" s="150" t="s">
        <v>277</v>
      </c>
      <c r="D36" s="150" t="s">
        <v>387</v>
      </c>
      <c r="E36" s="173">
        <v>2</v>
      </c>
      <c r="F36" s="297"/>
      <c r="G36" s="175">
        <f t="shared" ref="G36:G45" si="15">$F$10*E36</f>
        <v>2</v>
      </c>
      <c r="H36" s="150"/>
      <c r="I36" s="200"/>
      <c r="J36" s="150"/>
      <c r="K36" s="150"/>
      <c r="L36" s="150"/>
      <c r="M36" s="151"/>
      <c r="N36" s="149"/>
      <c r="O36" s="149"/>
      <c r="P36" s="152"/>
      <c r="Q36" s="151"/>
      <c r="R36" s="149"/>
      <c r="S36" s="149"/>
      <c r="T36" s="152"/>
      <c r="U36" s="151"/>
      <c r="V36" s="149"/>
      <c r="W36" s="149"/>
      <c r="X36" s="152"/>
      <c r="Y36" s="151"/>
      <c r="Z36" s="149"/>
      <c r="AA36" s="149"/>
      <c r="AB36" s="152"/>
      <c r="AC36" s="153"/>
      <c r="AD36" s="154" t="str">
        <f t="shared" ref="AD36:CE40" si="16">IF(AD$9=$M36,$P36,IF(AD$9=$Q36,$T36,IF(AD$9=$U36,$X36,IF(AD$9=$Y36,$AB36,IF(AD$9=$L36,"ПС",IF(AD$9=$I36,"КС",IF(AND(AD$9&lt;$I36,AD$9&gt;$L36),"--","")))))))</f>
        <v/>
      </c>
      <c r="AE36" s="154" t="str">
        <f t="shared" si="16"/>
        <v/>
      </c>
      <c r="AF36" s="154" t="str">
        <f t="shared" si="16"/>
        <v/>
      </c>
      <c r="AG36" s="154" t="str">
        <f t="shared" si="16"/>
        <v/>
      </c>
      <c r="AH36" s="154" t="str">
        <f t="shared" si="16"/>
        <v/>
      </c>
      <c r="AI36" s="154" t="str">
        <f t="shared" si="16"/>
        <v/>
      </c>
      <c r="AJ36" s="154" t="str">
        <f t="shared" si="16"/>
        <v/>
      </c>
      <c r="AK36" s="154" t="str">
        <f t="shared" si="16"/>
        <v/>
      </c>
      <c r="AL36" s="154" t="str">
        <f t="shared" si="16"/>
        <v/>
      </c>
      <c r="AM36" s="154" t="str">
        <f t="shared" si="16"/>
        <v/>
      </c>
      <c r="AN36" s="154" t="str">
        <f t="shared" si="16"/>
        <v/>
      </c>
      <c r="AO36" s="154" t="str">
        <f t="shared" si="16"/>
        <v/>
      </c>
      <c r="AP36" s="154" t="str">
        <f t="shared" si="16"/>
        <v/>
      </c>
      <c r="AQ36" s="154" t="str">
        <f t="shared" si="16"/>
        <v/>
      </c>
      <c r="AR36" s="154" t="str">
        <f t="shared" si="16"/>
        <v/>
      </c>
      <c r="AS36" s="154" t="str">
        <f t="shared" si="16"/>
        <v/>
      </c>
      <c r="AT36" s="154" t="str">
        <f t="shared" si="16"/>
        <v/>
      </c>
      <c r="AU36" s="154" t="str">
        <f t="shared" si="16"/>
        <v/>
      </c>
      <c r="AV36" s="154" t="str">
        <f t="shared" si="16"/>
        <v/>
      </c>
      <c r="AW36" s="154" t="str">
        <f t="shared" si="16"/>
        <v/>
      </c>
      <c r="AX36" s="154" t="str">
        <f t="shared" si="16"/>
        <v/>
      </c>
      <c r="AY36" s="154" t="str">
        <f t="shared" si="16"/>
        <v/>
      </c>
      <c r="AZ36" s="154" t="str">
        <f t="shared" si="16"/>
        <v/>
      </c>
      <c r="BA36" s="154" t="str">
        <f t="shared" si="16"/>
        <v/>
      </c>
      <c r="BB36" s="154" t="str">
        <f t="shared" si="16"/>
        <v/>
      </c>
      <c r="BC36" s="154" t="str">
        <f t="shared" si="16"/>
        <v/>
      </c>
      <c r="BD36" s="154" t="str">
        <f t="shared" si="16"/>
        <v/>
      </c>
      <c r="BE36" s="154" t="str">
        <f t="shared" si="16"/>
        <v/>
      </c>
      <c r="BF36" s="154" t="str">
        <f t="shared" si="16"/>
        <v/>
      </c>
      <c r="BG36" s="154" t="str">
        <f t="shared" si="16"/>
        <v/>
      </c>
      <c r="BH36" s="154" t="str">
        <f t="shared" si="16"/>
        <v/>
      </c>
      <c r="BI36" s="154" t="str">
        <f t="shared" si="16"/>
        <v/>
      </c>
      <c r="BJ36" s="154" t="str">
        <f t="shared" si="16"/>
        <v/>
      </c>
      <c r="BK36" s="154" t="str">
        <f t="shared" si="16"/>
        <v/>
      </c>
      <c r="BL36" s="154" t="str">
        <f t="shared" si="16"/>
        <v/>
      </c>
      <c r="BM36" s="154" t="str">
        <f t="shared" si="16"/>
        <v/>
      </c>
      <c r="BN36" s="154" t="str">
        <f t="shared" si="16"/>
        <v/>
      </c>
      <c r="BO36" s="154" t="str">
        <f t="shared" si="16"/>
        <v/>
      </c>
      <c r="BP36" s="154" t="str">
        <f t="shared" si="16"/>
        <v/>
      </c>
      <c r="BQ36" s="154" t="str">
        <f t="shared" si="16"/>
        <v/>
      </c>
      <c r="BR36" s="154" t="str">
        <f t="shared" si="16"/>
        <v/>
      </c>
      <c r="BS36" s="154" t="str">
        <f t="shared" si="16"/>
        <v/>
      </c>
      <c r="BT36" s="154" t="str">
        <f t="shared" si="16"/>
        <v/>
      </c>
      <c r="BU36" s="154" t="str">
        <f t="shared" si="16"/>
        <v/>
      </c>
      <c r="BV36" s="154" t="str">
        <f t="shared" si="16"/>
        <v/>
      </c>
      <c r="BW36" s="154" t="str">
        <f t="shared" si="16"/>
        <v/>
      </c>
      <c r="BX36" s="154" t="str">
        <f t="shared" si="16"/>
        <v/>
      </c>
      <c r="BY36" s="154" t="str">
        <f t="shared" si="16"/>
        <v/>
      </c>
      <c r="BZ36" s="154" t="str">
        <f t="shared" si="16"/>
        <v/>
      </c>
      <c r="CA36" s="154" t="str">
        <f t="shared" si="16"/>
        <v/>
      </c>
      <c r="CB36" s="154" t="str">
        <f t="shared" si="16"/>
        <v/>
      </c>
      <c r="CC36" s="154" t="str">
        <f t="shared" si="16"/>
        <v/>
      </c>
      <c r="CD36" s="154" t="str">
        <f t="shared" si="16"/>
        <v/>
      </c>
      <c r="CE36" s="154" t="str">
        <f t="shared" si="16"/>
        <v/>
      </c>
      <c r="CF36" s="155">
        <f t="shared" ref="CF36:CF45" si="17">SUM(AB36+X36+T36+P36)</f>
        <v>0</v>
      </c>
      <c r="CG36" s="156">
        <f t="shared" ref="CG36:CG45" si="18">CF36/E36</f>
        <v>0</v>
      </c>
    </row>
    <row r="37" spans="1:85" ht="12" customHeight="1">
      <c r="A37" s="149">
        <v>2</v>
      </c>
      <c r="B37" s="150" t="s">
        <v>282</v>
      </c>
      <c r="C37" s="150" t="s">
        <v>283</v>
      </c>
      <c r="D37" s="150" t="s">
        <v>387</v>
      </c>
      <c r="E37" s="173">
        <v>1</v>
      </c>
      <c r="F37" s="297"/>
      <c r="G37" s="175">
        <f t="shared" si="15"/>
        <v>1</v>
      </c>
      <c r="H37" s="150"/>
      <c r="I37" s="200"/>
      <c r="J37" s="150"/>
      <c r="K37" s="150"/>
      <c r="L37" s="150"/>
      <c r="M37" s="151"/>
      <c r="N37" s="149"/>
      <c r="O37" s="149"/>
      <c r="P37" s="152"/>
      <c r="Q37" s="151"/>
      <c r="R37" s="149"/>
      <c r="S37" s="149"/>
      <c r="T37" s="152"/>
      <c r="U37" s="151"/>
      <c r="V37" s="149"/>
      <c r="W37" s="149"/>
      <c r="X37" s="152"/>
      <c r="Y37" s="151"/>
      <c r="Z37" s="149"/>
      <c r="AA37" s="149"/>
      <c r="AB37" s="152"/>
      <c r="AC37" s="153"/>
      <c r="AD37" s="154" t="str">
        <f t="shared" si="16"/>
        <v/>
      </c>
      <c r="AE37" s="154" t="str">
        <f t="shared" si="16"/>
        <v/>
      </c>
      <c r="AF37" s="154" t="str">
        <f t="shared" si="16"/>
        <v/>
      </c>
      <c r="AG37" s="154" t="str">
        <f t="shared" si="16"/>
        <v/>
      </c>
      <c r="AH37" s="154" t="str">
        <f t="shared" si="16"/>
        <v/>
      </c>
      <c r="AI37" s="154" t="str">
        <f t="shared" si="16"/>
        <v/>
      </c>
      <c r="AJ37" s="154" t="str">
        <f t="shared" si="16"/>
        <v/>
      </c>
      <c r="AK37" s="154" t="str">
        <f t="shared" si="16"/>
        <v/>
      </c>
      <c r="AL37" s="154" t="str">
        <f t="shared" si="16"/>
        <v/>
      </c>
      <c r="AM37" s="154" t="str">
        <f t="shared" si="16"/>
        <v/>
      </c>
      <c r="AN37" s="154" t="str">
        <f t="shared" si="16"/>
        <v/>
      </c>
      <c r="AO37" s="154" t="str">
        <f t="shared" si="16"/>
        <v/>
      </c>
      <c r="AP37" s="154" t="str">
        <f t="shared" si="16"/>
        <v/>
      </c>
      <c r="AQ37" s="154" t="str">
        <f t="shared" si="16"/>
        <v/>
      </c>
      <c r="AR37" s="154" t="str">
        <f t="shared" si="16"/>
        <v/>
      </c>
      <c r="AS37" s="154" t="str">
        <f t="shared" si="16"/>
        <v/>
      </c>
      <c r="AT37" s="154" t="str">
        <f t="shared" si="16"/>
        <v/>
      </c>
      <c r="AU37" s="154" t="str">
        <f t="shared" si="16"/>
        <v/>
      </c>
      <c r="AV37" s="154" t="str">
        <f t="shared" si="16"/>
        <v/>
      </c>
      <c r="AW37" s="154" t="str">
        <f t="shared" si="16"/>
        <v/>
      </c>
      <c r="AX37" s="154" t="str">
        <f t="shared" si="16"/>
        <v/>
      </c>
      <c r="AY37" s="154" t="str">
        <f t="shared" si="16"/>
        <v/>
      </c>
      <c r="AZ37" s="154" t="str">
        <f t="shared" si="16"/>
        <v/>
      </c>
      <c r="BA37" s="154" t="str">
        <f t="shared" si="16"/>
        <v/>
      </c>
      <c r="BB37" s="154" t="str">
        <f t="shared" si="16"/>
        <v/>
      </c>
      <c r="BC37" s="154" t="str">
        <f t="shared" si="16"/>
        <v/>
      </c>
      <c r="BD37" s="154" t="str">
        <f t="shared" si="16"/>
        <v/>
      </c>
      <c r="BE37" s="154" t="str">
        <f t="shared" si="16"/>
        <v/>
      </c>
      <c r="BF37" s="154" t="str">
        <f t="shared" si="16"/>
        <v/>
      </c>
      <c r="BG37" s="154" t="str">
        <f t="shared" si="16"/>
        <v/>
      </c>
      <c r="BH37" s="154" t="str">
        <f t="shared" si="16"/>
        <v/>
      </c>
      <c r="BI37" s="154" t="str">
        <f t="shared" si="16"/>
        <v/>
      </c>
      <c r="BJ37" s="154" t="str">
        <f t="shared" si="16"/>
        <v/>
      </c>
      <c r="BK37" s="154" t="str">
        <f t="shared" si="16"/>
        <v/>
      </c>
      <c r="BL37" s="154" t="str">
        <f t="shared" si="16"/>
        <v/>
      </c>
      <c r="BM37" s="154" t="str">
        <f t="shared" si="16"/>
        <v/>
      </c>
      <c r="BN37" s="154" t="str">
        <f t="shared" si="16"/>
        <v/>
      </c>
      <c r="BO37" s="154" t="str">
        <f t="shared" si="16"/>
        <v/>
      </c>
      <c r="BP37" s="154" t="str">
        <f t="shared" si="16"/>
        <v/>
      </c>
      <c r="BQ37" s="154" t="str">
        <f t="shared" si="16"/>
        <v/>
      </c>
      <c r="BR37" s="154" t="str">
        <f t="shared" si="16"/>
        <v/>
      </c>
      <c r="BS37" s="154" t="str">
        <f t="shared" si="16"/>
        <v/>
      </c>
      <c r="BT37" s="154" t="str">
        <f t="shared" si="16"/>
        <v/>
      </c>
      <c r="BU37" s="154" t="str">
        <f t="shared" si="16"/>
        <v/>
      </c>
      <c r="BV37" s="154" t="str">
        <f t="shared" si="16"/>
        <v/>
      </c>
      <c r="BW37" s="154" t="str">
        <f t="shared" si="16"/>
        <v/>
      </c>
      <c r="BX37" s="154" t="str">
        <f t="shared" si="16"/>
        <v/>
      </c>
      <c r="BY37" s="154" t="str">
        <f t="shared" si="16"/>
        <v/>
      </c>
      <c r="BZ37" s="154" t="str">
        <f t="shared" si="16"/>
        <v/>
      </c>
      <c r="CA37" s="154" t="str">
        <f t="shared" si="16"/>
        <v/>
      </c>
      <c r="CB37" s="154" t="str">
        <f t="shared" si="16"/>
        <v/>
      </c>
      <c r="CC37" s="154" t="str">
        <f t="shared" si="16"/>
        <v/>
      </c>
      <c r="CD37" s="154" t="str">
        <f t="shared" si="16"/>
        <v/>
      </c>
      <c r="CE37" s="154" t="str">
        <f t="shared" si="16"/>
        <v/>
      </c>
      <c r="CF37" s="155">
        <f t="shared" si="17"/>
        <v>0</v>
      </c>
      <c r="CG37" s="156">
        <f t="shared" si="18"/>
        <v>0</v>
      </c>
    </row>
    <row r="38" spans="1:85" ht="12" customHeight="1">
      <c r="A38" s="149">
        <v>3</v>
      </c>
      <c r="B38" s="150" t="s">
        <v>284</v>
      </c>
      <c r="C38" s="150" t="s">
        <v>285</v>
      </c>
      <c r="D38" s="150" t="s">
        <v>387</v>
      </c>
      <c r="E38" s="173">
        <v>3</v>
      </c>
      <c r="F38" s="297"/>
      <c r="G38" s="175">
        <f t="shared" si="15"/>
        <v>3</v>
      </c>
      <c r="H38" s="150"/>
      <c r="I38" s="200"/>
      <c r="J38" s="150"/>
      <c r="K38" s="150"/>
      <c r="L38" s="150"/>
      <c r="M38" s="151"/>
      <c r="N38" s="149"/>
      <c r="O38" s="149"/>
      <c r="P38" s="152"/>
      <c r="Q38" s="151"/>
      <c r="R38" s="149"/>
      <c r="S38" s="149"/>
      <c r="T38" s="152"/>
      <c r="U38" s="151"/>
      <c r="V38" s="149"/>
      <c r="W38" s="149"/>
      <c r="X38" s="152"/>
      <c r="Y38" s="151"/>
      <c r="Z38" s="149"/>
      <c r="AA38" s="149"/>
      <c r="AB38" s="152"/>
      <c r="AC38" s="153"/>
      <c r="AD38" s="154" t="str">
        <f t="shared" si="16"/>
        <v/>
      </c>
      <c r="AE38" s="154" t="str">
        <f t="shared" si="16"/>
        <v/>
      </c>
      <c r="AF38" s="154" t="str">
        <f t="shared" si="16"/>
        <v/>
      </c>
      <c r="AG38" s="154" t="str">
        <f t="shared" si="16"/>
        <v/>
      </c>
      <c r="AH38" s="154" t="str">
        <f t="shared" si="16"/>
        <v/>
      </c>
      <c r="AI38" s="154" t="str">
        <f t="shared" si="16"/>
        <v/>
      </c>
      <c r="AJ38" s="154" t="str">
        <f t="shared" si="16"/>
        <v/>
      </c>
      <c r="AK38" s="154" t="str">
        <f t="shared" si="16"/>
        <v/>
      </c>
      <c r="AL38" s="154" t="str">
        <f t="shared" si="16"/>
        <v/>
      </c>
      <c r="AM38" s="154" t="str">
        <f t="shared" si="16"/>
        <v/>
      </c>
      <c r="AN38" s="154" t="str">
        <f t="shared" si="16"/>
        <v/>
      </c>
      <c r="AO38" s="154" t="str">
        <f t="shared" si="16"/>
        <v/>
      </c>
      <c r="AP38" s="154" t="str">
        <f t="shared" si="16"/>
        <v/>
      </c>
      <c r="AQ38" s="154" t="str">
        <f t="shared" si="16"/>
        <v/>
      </c>
      <c r="AR38" s="154" t="str">
        <f t="shared" si="16"/>
        <v/>
      </c>
      <c r="AS38" s="154" t="str">
        <f t="shared" si="16"/>
        <v/>
      </c>
      <c r="AT38" s="154" t="str">
        <f t="shared" si="16"/>
        <v/>
      </c>
      <c r="AU38" s="154" t="str">
        <f t="shared" si="16"/>
        <v/>
      </c>
      <c r="AV38" s="154" t="str">
        <f t="shared" si="16"/>
        <v/>
      </c>
      <c r="AW38" s="154" t="str">
        <f t="shared" si="16"/>
        <v/>
      </c>
      <c r="AX38" s="154" t="str">
        <f t="shared" si="16"/>
        <v/>
      </c>
      <c r="AY38" s="154" t="str">
        <f t="shared" si="16"/>
        <v/>
      </c>
      <c r="AZ38" s="154" t="str">
        <f t="shared" si="16"/>
        <v/>
      </c>
      <c r="BA38" s="154" t="str">
        <f t="shared" si="16"/>
        <v/>
      </c>
      <c r="BB38" s="154" t="str">
        <f t="shared" si="16"/>
        <v/>
      </c>
      <c r="BC38" s="154" t="str">
        <f t="shared" si="16"/>
        <v/>
      </c>
      <c r="BD38" s="154" t="str">
        <f t="shared" si="16"/>
        <v/>
      </c>
      <c r="BE38" s="154" t="str">
        <f t="shared" si="16"/>
        <v/>
      </c>
      <c r="BF38" s="154" t="str">
        <f t="shared" si="16"/>
        <v/>
      </c>
      <c r="BG38" s="154" t="str">
        <f t="shared" si="16"/>
        <v/>
      </c>
      <c r="BH38" s="154" t="str">
        <f t="shared" si="16"/>
        <v/>
      </c>
      <c r="BI38" s="154" t="str">
        <f t="shared" si="16"/>
        <v/>
      </c>
      <c r="BJ38" s="154" t="str">
        <f t="shared" si="16"/>
        <v/>
      </c>
      <c r="BK38" s="154" t="str">
        <f t="shared" si="16"/>
        <v/>
      </c>
      <c r="BL38" s="154" t="str">
        <f t="shared" si="16"/>
        <v/>
      </c>
      <c r="BM38" s="154" t="str">
        <f t="shared" si="16"/>
        <v/>
      </c>
      <c r="BN38" s="154" t="str">
        <f t="shared" si="16"/>
        <v/>
      </c>
      <c r="BO38" s="154" t="str">
        <f t="shared" si="16"/>
        <v/>
      </c>
      <c r="BP38" s="154" t="str">
        <f t="shared" si="16"/>
        <v/>
      </c>
      <c r="BQ38" s="154" t="str">
        <f t="shared" si="16"/>
        <v/>
      </c>
      <c r="BR38" s="154" t="str">
        <f t="shared" si="16"/>
        <v/>
      </c>
      <c r="BS38" s="154" t="str">
        <f t="shared" si="16"/>
        <v/>
      </c>
      <c r="BT38" s="154" t="str">
        <f t="shared" si="16"/>
        <v/>
      </c>
      <c r="BU38" s="154" t="str">
        <f t="shared" si="16"/>
        <v/>
      </c>
      <c r="BV38" s="154" t="str">
        <f t="shared" si="16"/>
        <v/>
      </c>
      <c r="BW38" s="154" t="str">
        <f t="shared" si="16"/>
        <v/>
      </c>
      <c r="BX38" s="154" t="str">
        <f t="shared" si="16"/>
        <v/>
      </c>
      <c r="BY38" s="154" t="str">
        <f t="shared" si="16"/>
        <v/>
      </c>
      <c r="BZ38" s="154" t="str">
        <f t="shared" si="16"/>
        <v/>
      </c>
      <c r="CA38" s="154" t="str">
        <f t="shared" si="16"/>
        <v/>
      </c>
      <c r="CB38" s="154" t="str">
        <f t="shared" si="16"/>
        <v/>
      </c>
      <c r="CC38" s="154" t="str">
        <f t="shared" si="16"/>
        <v/>
      </c>
      <c r="CD38" s="154" t="str">
        <f t="shared" si="16"/>
        <v/>
      </c>
      <c r="CE38" s="154" t="str">
        <f t="shared" si="16"/>
        <v/>
      </c>
      <c r="CF38" s="155">
        <f t="shared" si="17"/>
        <v>0</v>
      </c>
      <c r="CG38" s="156">
        <f t="shared" si="18"/>
        <v>0</v>
      </c>
    </row>
    <row r="39" spans="1:85" ht="12" customHeight="1">
      <c r="A39" s="149">
        <v>4</v>
      </c>
      <c r="B39" s="150" t="s">
        <v>286</v>
      </c>
      <c r="C39" s="150" t="s">
        <v>287</v>
      </c>
      <c r="D39" s="150" t="s">
        <v>387</v>
      </c>
      <c r="E39" s="173">
        <v>4</v>
      </c>
      <c r="F39" s="297"/>
      <c r="G39" s="175">
        <f t="shared" si="15"/>
        <v>4</v>
      </c>
      <c r="H39" s="150"/>
      <c r="I39" s="200"/>
      <c r="J39" s="150"/>
      <c r="K39" s="150"/>
      <c r="L39" s="150"/>
      <c r="M39" s="151"/>
      <c r="N39" s="149"/>
      <c r="O39" s="149"/>
      <c r="P39" s="152"/>
      <c r="Q39" s="151"/>
      <c r="R39" s="149"/>
      <c r="S39" s="149"/>
      <c r="T39" s="152"/>
      <c r="U39" s="151"/>
      <c r="V39" s="149"/>
      <c r="W39" s="149"/>
      <c r="X39" s="152"/>
      <c r="Y39" s="151"/>
      <c r="Z39" s="149"/>
      <c r="AA39" s="149"/>
      <c r="AB39" s="152"/>
      <c r="AC39" s="153"/>
      <c r="AD39" s="154" t="str">
        <f t="shared" si="16"/>
        <v/>
      </c>
      <c r="AE39" s="154" t="str">
        <f t="shared" si="16"/>
        <v/>
      </c>
      <c r="AF39" s="154" t="str">
        <f t="shared" si="16"/>
        <v/>
      </c>
      <c r="AG39" s="154" t="str">
        <f t="shared" si="16"/>
        <v/>
      </c>
      <c r="AH39" s="154" t="str">
        <f t="shared" si="16"/>
        <v/>
      </c>
      <c r="AI39" s="154" t="str">
        <f t="shared" si="16"/>
        <v/>
      </c>
      <c r="AJ39" s="154" t="str">
        <f t="shared" si="16"/>
        <v/>
      </c>
      <c r="AK39" s="154" t="str">
        <f t="shared" si="16"/>
        <v/>
      </c>
      <c r="AL39" s="154" t="str">
        <f t="shared" si="16"/>
        <v/>
      </c>
      <c r="AM39" s="154" t="str">
        <f t="shared" si="16"/>
        <v/>
      </c>
      <c r="AN39" s="154" t="str">
        <f t="shared" si="16"/>
        <v/>
      </c>
      <c r="AO39" s="154" t="str">
        <f t="shared" si="16"/>
        <v/>
      </c>
      <c r="AP39" s="154" t="str">
        <f t="shared" si="16"/>
        <v/>
      </c>
      <c r="AQ39" s="154" t="str">
        <f t="shared" si="16"/>
        <v/>
      </c>
      <c r="AR39" s="154" t="str">
        <f t="shared" si="16"/>
        <v/>
      </c>
      <c r="AS39" s="154" t="str">
        <f t="shared" si="16"/>
        <v/>
      </c>
      <c r="AT39" s="154" t="str">
        <f t="shared" si="16"/>
        <v/>
      </c>
      <c r="AU39" s="154" t="str">
        <f t="shared" si="16"/>
        <v/>
      </c>
      <c r="AV39" s="154" t="str">
        <f t="shared" si="16"/>
        <v/>
      </c>
      <c r="AW39" s="154" t="str">
        <f t="shared" si="16"/>
        <v/>
      </c>
      <c r="AX39" s="154" t="str">
        <f t="shared" si="16"/>
        <v/>
      </c>
      <c r="AY39" s="154" t="str">
        <f t="shared" si="16"/>
        <v/>
      </c>
      <c r="AZ39" s="154" t="str">
        <f t="shared" si="16"/>
        <v/>
      </c>
      <c r="BA39" s="154" t="str">
        <f t="shared" si="16"/>
        <v/>
      </c>
      <c r="BB39" s="154" t="str">
        <f t="shared" si="16"/>
        <v/>
      </c>
      <c r="BC39" s="154" t="str">
        <f t="shared" si="16"/>
        <v/>
      </c>
      <c r="BD39" s="154" t="str">
        <f t="shared" si="16"/>
        <v/>
      </c>
      <c r="BE39" s="154" t="str">
        <f t="shared" si="16"/>
        <v/>
      </c>
      <c r="BF39" s="154" t="str">
        <f t="shared" si="16"/>
        <v/>
      </c>
      <c r="BG39" s="154" t="str">
        <f t="shared" si="16"/>
        <v/>
      </c>
      <c r="BH39" s="154" t="str">
        <f t="shared" si="16"/>
        <v/>
      </c>
      <c r="BI39" s="154" t="str">
        <f t="shared" si="16"/>
        <v/>
      </c>
      <c r="BJ39" s="154" t="str">
        <f t="shared" si="16"/>
        <v/>
      </c>
      <c r="BK39" s="154" t="str">
        <f t="shared" si="16"/>
        <v/>
      </c>
      <c r="BL39" s="154" t="str">
        <f t="shared" si="16"/>
        <v/>
      </c>
      <c r="BM39" s="154" t="str">
        <f t="shared" si="16"/>
        <v/>
      </c>
      <c r="BN39" s="154" t="str">
        <f t="shared" si="16"/>
        <v/>
      </c>
      <c r="BO39" s="154" t="str">
        <f t="shared" si="16"/>
        <v/>
      </c>
      <c r="BP39" s="154" t="str">
        <f t="shared" si="16"/>
        <v/>
      </c>
      <c r="BQ39" s="154" t="str">
        <f t="shared" si="16"/>
        <v/>
      </c>
      <c r="BR39" s="154" t="str">
        <f t="shared" si="16"/>
        <v/>
      </c>
      <c r="BS39" s="154" t="str">
        <f t="shared" si="16"/>
        <v/>
      </c>
      <c r="BT39" s="154" t="str">
        <f t="shared" si="16"/>
        <v/>
      </c>
      <c r="BU39" s="154" t="str">
        <f t="shared" si="16"/>
        <v/>
      </c>
      <c r="BV39" s="154" t="str">
        <f t="shared" si="16"/>
        <v/>
      </c>
      <c r="BW39" s="154" t="str">
        <f t="shared" si="16"/>
        <v/>
      </c>
      <c r="BX39" s="154" t="str">
        <f t="shared" si="16"/>
        <v/>
      </c>
      <c r="BY39" s="154" t="str">
        <f t="shared" si="16"/>
        <v/>
      </c>
      <c r="BZ39" s="154" t="str">
        <f t="shared" si="16"/>
        <v/>
      </c>
      <c r="CA39" s="154" t="str">
        <f t="shared" si="16"/>
        <v/>
      </c>
      <c r="CB39" s="154" t="str">
        <f t="shared" si="16"/>
        <v/>
      </c>
      <c r="CC39" s="154" t="str">
        <f t="shared" si="16"/>
        <v/>
      </c>
      <c r="CD39" s="154" t="str">
        <f t="shared" si="16"/>
        <v/>
      </c>
      <c r="CE39" s="154" t="str">
        <f t="shared" si="16"/>
        <v/>
      </c>
      <c r="CF39" s="155">
        <f t="shared" si="17"/>
        <v>0</v>
      </c>
      <c r="CG39" s="156">
        <f t="shared" si="18"/>
        <v>0</v>
      </c>
    </row>
    <row r="40" spans="1:85" ht="12" customHeight="1">
      <c r="A40" s="149">
        <v>5</v>
      </c>
      <c r="B40" s="150" t="s">
        <v>288</v>
      </c>
      <c r="C40" s="150" t="s">
        <v>277</v>
      </c>
      <c r="D40" s="150" t="s">
        <v>387</v>
      </c>
      <c r="E40" s="173">
        <v>4</v>
      </c>
      <c r="F40" s="297"/>
      <c r="G40" s="175">
        <f t="shared" si="15"/>
        <v>4</v>
      </c>
      <c r="H40" s="150"/>
      <c r="I40" s="200"/>
      <c r="J40" s="150"/>
      <c r="K40" s="150"/>
      <c r="L40" s="150"/>
      <c r="M40" s="151"/>
      <c r="N40" s="149"/>
      <c r="O40" s="149"/>
      <c r="P40" s="152"/>
      <c r="Q40" s="151"/>
      <c r="R40" s="149"/>
      <c r="S40" s="149"/>
      <c r="T40" s="152"/>
      <c r="U40" s="151"/>
      <c r="V40" s="149"/>
      <c r="W40" s="149"/>
      <c r="X40" s="152"/>
      <c r="Y40" s="151"/>
      <c r="Z40" s="149"/>
      <c r="AA40" s="149"/>
      <c r="AB40" s="152"/>
      <c r="AC40" s="153"/>
      <c r="AD40" s="154" t="str">
        <f t="shared" si="16"/>
        <v/>
      </c>
      <c r="AE40" s="154" t="str">
        <f t="shared" si="16"/>
        <v/>
      </c>
      <c r="AF40" s="154" t="str">
        <f t="shared" si="16"/>
        <v/>
      </c>
      <c r="AG40" s="154" t="str">
        <f t="shared" si="16"/>
        <v/>
      </c>
      <c r="AH40" s="154" t="str">
        <f t="shared" si="16"/>
        <v/>
      </c>
      <c r="AI40" s="154" t="str">
        <f t="shared" si="16"/>
        <v/>
      </c>
      <c r="AJ40" s="154" t="str">
        <f t="shared" si="16"/>
        <v/>
      </c>
      <c r="AK40" s="154" t="str">
        <f t="shared" si="16"/>
        <v/>
      </c>
      <c r="AL40" s="154" t="str">
        <f t="shared" si="16"/>
        <v/>
      </c>
      <c r="AM40" s="154" t="str">
        <f t="shared" si="16"/>
        <v/>
      </c>
      <c r="AN40" s="154" t="str">
        <f t="shared" si="16"/>
        <v/>
      </c>
      <c r="AO40" s="154" t="str">
        <f t="shared" si="16"/>
        <v/>
      </c>
      <c r="AP40" s="154" t="str">
        <f t="shared" si="16"/>
        <v/>
      </c>
      <c r="AQ40" s="154" t="str">
        <f t="shared" si="16"/>
        <v/>
      </c>
      <c r="AR40" s="154" t="str">
        <f t="shared" si="16"/>
        <v/>
      </c>
      <c r="AS40" s="154" t="str">
        <f t="shared" si="16"/>
        <v/>
      </c>
      <c r="AT40" s="154" t="str">
        <f t="shared" si="16"/>
        <v/>
      </c>
      <c r="AU40" s="154" t="str">
        <f t="shared" si="16"/>
        <v/>
      </c>
      <c r="AV40" s="154" t="str">
        <f t="shared" si="16"/>
        <v/>
      </c>
      <c r="AW40" s="154" t="str">
        <f t="shared" si="16"/>
        <v/>
      </c>
      <c r="AX40" s="154" t="str">
        <f t="shared" si="16"/>
        <v/>
      </c>
      <c r="AY40" s="154" t="str">
        <f t="shared" si="16"/>
        <v/>
      </c>
      <c r="AZ40" s="154" t="str">
        <f t="shared" si="16"/>
        <v/>
      </c>
      <c r="BA40" s="154" t="str">
        <f t="shared" si="16"/>
        <v/>
      </c>
      <c r="BB40" s="154" t="str">
        <f t="shared" si="16"/>
        <v/>
      </c>
      <c r="BC40" s="154" t="str">
        <f t="shared" si="16"/>
        <v/>
      </c>
      <c r="BD40" s="154" t="str">
        <f t="shared" si="16"/>
        <v/>
      </c>
      <c r="BE40" s="154" t="str">
        <f t="shared" si="16"/>
        <v/>
      </c>
      <c r="BF40" s="154" t="str">
        <f t="shared" si="16"/>
        <v/>
      </c>
      <c r="BG40" s="154" t="str">
        <f t="shared" si="16"/>
        <v/>
      </c>
      <c r="BH40" s="154" t="str">
        <f t="shared" si="16"/>
        <v/>
      </c>
      <c r="BI40" s="154" t="str">
        <f t="shared" si="16"/>
        <v/>
      </c>
      <c r="BJ40" s="154" t="str">
        <f t="shared" si="16"/>
        <v/>
      </c>
      <c r="BK40" s="154" t="str">
        <f t="shared" si="16"/>
        <v/>
      </c>
      <c r="BL40" s="154" t="str">
        <f t="shared" si="16"/>
        <v/>
      </c>
      <c r="BM40" s="154" t="str">
        <f t="shared" si="16"/>
        <v/>
      </c>
      <c r="BN40" s="154" t="str">
        <f t="shared" si="16"/>
        <v/>
      </c>
      <c r="BO40" s="154" t="str">
        <f t="shared" si="16"/>
        <v/>
      </c>
      <c r="BP40" s="154" t="str">
        <f t="shared" si="16"/>
        <v/>
      </c>
      <c r="BQ40" s="154" t="str">
        <f t="shared" ref="BQ40:CE40" si="19">IF(BQ$9=$M40,$P40,IF(BQ$9=$Q40,$T40,IF(BQ$9=$U40,$X40,IF(BQ$9=$Y40,$AB40,IF(BQ$9=$L40,"ПС",IF(BQ$9=$I40,"КС",IF(AND(BQ$9&lt;$I40,BQ$9&gt;$L40),"--","")))))))</f>
        <v/>
      </c>
      <c r="BR40" s="154" t="str">
        <f t="shared" si="19"/>
        <v/>
      </c>
      <c r="BS40" s="154" t="str">
        <f t="shared" si="19"/>
        <v/>
      </c>
      <c r="BT40" s="154" t="str">
        <f t="shared" si="19"/>
        <v/>
      </c>
      <c r="BU40" s="154" t="str">
        <f t="shared" si="19"/>
        <v/>
      </c>
      <c r="BV40" s="154" t="str">
        <f t="shared" si="19"/>
        <v/>
      </c>
      <c r="BW40" s="154" t="str">
        <f t="shared" si="19"/>
        <v/>
      </c>
      <c r="BX40" s="154" t="str">
        <f t="shared" si="19"/>
        <v/>
      </c>
      <c r="BY40" s="154" t="str">
        <f t="shared" si="19"/>
        <v/>
      </c>
      <c r="BZ40" s="154" t="str">
        <f t="shared" si="19"/>
        <v/>
      </c>
      <c r="CA40" s="154" t="str">
        <f t="shared" si="19"/>
        <v/>
      </c>
      <c r="CB40" s="154" t="str">
        <f t="shared" si="19"/>
        <v/>
      </c>
      <c r="CC40" s="154" t="str">
        <f t="shared" si="19"/>
        <v/>
      </c>
      <c r="CD40" s="154" t="str">
        <f t="shared" si="19"/>
        <v/>
      </c>
      <c r="CE40" s="154" t="str">
        <f t="shared" si="19"/>
        <v/>
      </c>
      <c r="CF40" s="155">
        <f t="shared" si="17"/>
        <v>0</v>
      </c>
      <c r="CG40" s="156">
        <f t="shared" si="18"/>
        <v>0</v>
      </c>
    </row>
    <row r="41" spans="1:85" ht="12" customHeight="1">
      <c r="A41" s="149">
        <v>6</v>
      </c>
      <c r="B41" s="150" t="s">
        <v>289</v>
      </c>
      <c r="C41" s="150" t="s">
        <v>287</v>
      </c>
      <c r="D41" s="150" t="s">
        <v>387</v>
      </c>
      <c r="E41" s="173">
        <v>4</v>
      </c>
      <c r="F41" s="297"/>
      <c r="G41" s="175">
        <f t="shared" si="15"/>
        <v>4</v>
      </c>
      <c r="H41" s="150"/>
      <c r="I41" s="200"/>
      <c r="J41" s="150"/>
      <c r="K41" s="150"/>
      <c r="L41" s="150"/>
      <c r="M41" s="151"/>
      <c r="N41" s="149"/>
      <c r="O41" s="149"/>
      <c r="P41" s="152"/>
      <c r="Q41" s="151"/>
      <c r="R41" s="149"/>
      <c r="S41" s="149"/>
      <c r="T41" s="152"/>
      <c r="U41" s="151"/>
      <c r="V41" s="149"/>
      <c r="W41" s="149"/>
      <c r="X41" s="152"/>
      <c r="Y41" s="151"/>
      <c r="Z41" s="149"/>
      <c r="AA41" s="149"/>
      <c r="AB41" s="152"/>
      <c r="AC41" s="153"/>
      <c r="AD41" s="154" t="str">
        <f t="shared" ref="AD41:CE45" si="20">IF(AD$9=$M41,$P41,IF(AD$9=$Q41,$T41,IF(AD$9=$U41,$X41,IF(AD$9=$Y41,$AB41,IF(AD$9=$L41,"ПС",IF(AD$9=$I41,"КС",IF(AND(AD$9&lt;$I41,AD$9&gt;$L41),"--","")))))))</f>
        <v/>
      </c>
      <c r="AE41" s="154" t="str">
        <f t="shared" si="20"/>
        <v/>
      </c>
      <c r="AF41" s="154" t="str">
        <f t="shared" si="20"/>
        <v/>
      </c>
      <c r="AG41" s="154" t="str">
        <f t="shared" si="20"/>
        <v/>
      </c>
      <c r="AH41" s="154" t="str">
        <f t="shared" si="20"/>
        <v/>
      </c>
      <c r="AI41" s="154" t="str">
        <f t="shared" si="20"/>
        <v/>
      </c>
      <c r="AJ41" s="154" t="str">
        <f t="shared" si="20"/>
        <v/>
      </c>
      <c r="AK41" s="154" t="str">
        <f t="shared" si="20"/>
        <v/>
      </c>
      <c r="AL41" s="154" t="str">
        <f t="shared" si="20"/>
        <v/>
      </c>
      <c r="AM41" s="154" t="str">
        <f t="shared" si="20"/>
        <v/>
      </c>
      <c r="AN41" s="154" t="str">
        <f t="shared" si="20"/>
        <v/>
      </c>
      <c r="AO41" s="154" t="str">
        <f t="shared" si="20"/>
        <v/>
      </c>
      <c r="AP41" s="154" t="str">
        <f t="shared" si="20"/>
        <v/>
      </c>
      <c r="AQ41" s="154" t="str">
        <f t="shared" si="20"/>
        <v/>
      </c>
      <c r="AR41" s="154" t="str">
        <f t="shared" si="20"/>
        <v/>
      </c>
      <c r="AS41" s="154" t="str">
        <f t="shared" si="20"/>
        <v/>
      </c>
      <c r="AT41" s="154" t="str">
        <f t="shared" si="20"/>
        <v/>
      </c>
      <c r="AU41" s="154" t="str">
        <f t="shared" si="20"/>
        <v/>
      </c>
      <c r="AV41" s="154" t="str">
        <f t="shared" si="20"/>
        <v/>
      </c>
      <c r="AW41" s="154" t="str">
        <f t="shared" si="20"/>
        <v/>
      </c>
      <c r="AX41" s="154" t="str">
        <f t="shared" si="20"/>
        <v/>
      </c>
      <c r="AY41" s="154" t="str">
        <f t="shared" si="20"/>
        <v/>
      </c>
      <c r="AZ41" s="154" t="str">
        <f t="shared" si="20"/>
        <v/>
      </c>
      <c r="BA41" s="154" t="str">
        <f t="shared" si="20"/>
        <v/>
      </c>
      <c r="BB41" s="154" t="str">
        <f t="shared" si="20"/>
        <v/>
      </c>
      <c r="BC41" s="154" t="str">
        <f t="shared" si="20"/>
        <v/>
      </c>
      <c r="BD41" s="154" t="str">
        <f t="shared" si="20"/>
        <v/>
      </c>
      <c r="BE41" s="154" t="str">
        <f t="shared" si="20"/>
        <v/>
      </c>
      <c r="BF41" s="154" t="str">
        <f t="shared" si="20"/>
        <v/>
      </c>
      <c r="BG41" s="154" t="str">
        <f t="shared" si="20"/>
        <v/>
      </c>
      <c r="BH41" s="154" t="str">
        <f t="shared" si="20"/>
        <v/>
      </c>
      <c r="BI41" s="154" t="str">
        <f t="shared" si="20"/>
        <v/>
      </c>
      <c r="BJ41" s="154" t="str">
        <f t="shared" si="20"/>
        <v/>
      </c>
      <c r="BK41" s="154" t="str">
        <f t="shared" si="20"/>
        <v/>
      </c>
      <c r="BL41" s="154" t="str">
        <f t="shared" si="20"/>
        <v/>
      </c>
      <c r="BM41" s="154" t="str">
        <f t="shared" si="20"/>
        <v/>
      </c>
      <c r="BN41" s="154" t="str">
        <f t="shared" si="20"/>
        <v/>
      </c>
      <c r="BO41" s="154" t="str">
        <f t="shared" si="20"/>
        <v/>
      </c>
      <c r="BP41" s="154" t="str">
        <f t="shared" si="20"/>
        <v/>
      </c>
      <c r="BQ41" s="154" t="str">
        <f t="shared" si="20"/>
        <v/>
      </c>
      <c r="BR41" s="154" t="str">
        <f t="shared" si="20"/>
        <v/>
      </c>
      <c r="BS41" s="154" t="str">
        <f t="shared" si="20"/>
        <v/>
      </c>
      <c r="BT41" s="154" t="str">
        <f t="shared" si="20"/>
        <v/>
      </c>
      <c r="BU41" s="154" t="str">
        <f t="shared" si="20"/>
        <v/>
      </c>
      <c r="BV41" s="154" t="str">
        <f t="shared" si="20"/>
        <v/>
      </c>
      <c r="BW41" s="154" t="str">
        <f t="shared" si="20"/>
        <v/>
      </c>
      <c r="BX41" s="154" t="str">
        <f t="shared" si="20"/>
        <v/>
      </c>
      <c r="BY41" s="154" t="str">
        <f t="shared" si="20"/>
        <v/>
      </c>
      <c r="BZ41" s="154" t="str">
        <f t="shared" si="20"/>
        <v/>
      </c>
      <c r="CA41" s="154" t="str">
        <f t="shared" si="20"/>
        <v/>
      </c>
      <c r="CB41" s="154" t="str">
        <f t="shared" si="20"/>
        <v/>
      </c>
      <c r="CC41" s="154" t="str">
        <f t="shared" si="20"/>
        <v/>
      </c>
      <c r="CD41" s="154" t="str">
        <f t="shared" si="20"/>
        <v/>
      </c>
      <c r="CE41" s="154" t="str">
        <f t="shared" si="20"/>
        <v/>
      </c>
      <c r="CF41" s="155">
        <f t="shared" si="17"/>
        <v>0</v>
      </c>
      <c r="CG41" s="156">
        <f t="shared" si="18"/>
        <v>0</v>
      </c>
    </row>
    <row r="42" spans="1:85" ht="12" customHeight="1">
      <c r="A42" s="149">
        <v>7</v>
      </c>
      <c r="B42" s="150" t="s">
        <v>290</v>
      </c>
      <c r="C42" s="150" t="s">
        <v>291</v>
      </c>
      <c r="D42" s="150" t="s">
        <v>387</v>
      </c>
      <c r="E42" s="173">
        <v>2</v>
      </c>
      <c r="F42" s="297"/>
      <c r="G42" s="175">
        <f t="shared" si="15"/>
        <v>2</v>
      </c>
      <c r="H42" s="150"/>
      <c r="I42" s="200"/>
      <c r="J42" s="150"/>
      <c r="K42" s="150"/>
      <c r="L42" s="150"/>
      <c r="M42" s="151"/>
      <c r="N42" s="149"/>
      <c r="O42" s="149"/>
      <c r="P42" s="152"/>
      <c r="Q42" s="151"/>
      <c r="R42" s="149"/>
      <c r="S42" s="149"/>
      <c r="T42" s="152"/>
      <c r="U42" s="151"/>
      <c r="V42" s="149"/>
      <c r="W42" s="149"/>
      <c r="X42" s="152"/>
      <c r="Y42" s="151"/>
      <c r="Z42" s="149"/>
      <c r="AA42" s="149"/>
      <c r="AB42" s="152"/>
      <c r="AC42" s="153"/>
      <c r="AD42" s="154" t="str">
        <f t="shared" si="20"/>
        <v/>
      </c>
      <c r="AE42" s="154" t="str">
        <f t="shared" si="20"/>
        <v/>
      </c>
      <c r="AF42" s="154" t="str">
        <f t="shared" si="20"/>
        <v/>
      </c>
      <c r="AG42" s="154" t="str">
        <f t="shared" si="20"/>
        <v/>
      </c>
      <c r="AH42" s="154" t="str">
        <f t="shared" si="20"/>
        <v/>
      </c>
      <c r="AI42" s="154" t="str">
        <f t="shared" si="20"/>
        <v/>
      </c>
      <c r="AJ42" s="154" t="str">
        <f t="shared" si="20"/>
        <v/>
      </c>
      <c r="AK42" s="154" t="str">
        <f t="shared" si="20"/>
        <v/>
      </c>
      <c r="AL42" s="154" t="str">
        <f t="shared" si="20"/>
        <v/>
      </c>
      <c r="AM42" s="154" t="str">
        <f t="shared" si="20"/>
        <v/>
      </c>
      <c r="AN42" s="154" t="str">
        <f t="shared" si="20"/>
        <v/>
      </c>
      <c r="AO42" s="154" t="str">
        <f t="shared" si="20"/>
        <v/>
      </c>
      <c r="AP42" s="154" t="str">
        <f t="shared" si="20"/>
        <v/>
      </c>
      <c r="AQ42" s="154" t="str">
        <f t="shared" si="20"/>
        <v/>
      </c>
      <c r="AR42" s="154" t="str">
        <f t="shared" si="20"/>
        <v/>
      </c>
      <c r="AS42" s="154" t="str">
        <f t="shared" si="20"/>
        <v/>
      </c>
      <c r="AT42" s="154" t="str">
        <f t="shared" si="20"/>
        <v/>
      </c>
      <c r="AU42" s="154" t="str">
        <f t="shared" si="20"/>
        <v/>
      </c>
      <c r="AV42" s="154" t="str">
        <f t="shared" si="20"/>
        <v/>
      </c>
      <c r="AW42" s="154" t="str">
        <f t="shared" si="20"/>
        <v/>
      </c>
      <c r="AX42" s="154" t="str">
        <f t="shared" si="20"/>
        <v/>
      </c>
      <c r="AY42" s="154" t="str">
        <f t="shared" si="20"/>
        <v/>
      </c>
      <c r="AZ42" s="154" t="str">
        <f t="shared" si="20"/>
        <v/>
      </c>
      <c r="BA42" s="154" t="str">
        <f t="shared" si="20"/>
        <v/>
      </c>
      <c r="BB42" s="154" t="str">
        <f t="shared" si="20"/>
        <v/>
      </c>
      <c r="BC42" s="154" t="str">
        <f t="shared" si="20"/>
        <v/>
      </c>
      <c r="BD42" s="154" t="str">
        <f t="shared" si="20"/>
        <v/>
      </c>
      <c r="BE42" s="154" t="str">
        <f t="shared" si="20"/>
        <v/>
      </c>
      <c r="BF42" s="154" t="str">
        <f t="shared" si="20"/>
        <v/>
      </c>
      <c r="BG42" s="154" t="str">
        <f t="shared" si="20"/>
        <v/>
      </c>
      <c r="BH42" s="154" t="str">
        <f t="shared" si="20"/>
        <v/>
      </c>
      <c r="BI42" s="154" t="str">
        <f t="shared" si="20"/>
        <v/>
      </c>
      <c r="BJ42" s="154" t="str">
        <f t="shared" si="20"/>
        <v/>
      </c>
      <c r="BK42" s="154" t="str">
        <f t="shared" si="20"/>
        <v/>
      </c>
      <c r="BL42" s="154" t="str">
        <f t="shared" si="20"/>
        <v/>
      </c>
      <c r="BM42" s="154" t="str">
        <f t="shared" si="20"/>
        <v/>
      </c>
      <c r="BN42" s="154" t="str">
        <f t="shared" si="20"/>
        <v/>
      </c>
      <c r="BO42" s="154" t="str">
        <f t="shared" si="20"/>
        <v/>
      </c>
      <c r="BP42" s="154" t="str">
        <f t="shared" si="20"/>
        <v/>
      </c>
      <c r="BQ42" s="154" t="str">
        <f t="shared" si="20"/>
        <v/>
      </c>
      <c r="BR42" s="154" t="str">
        <f t="shared" si="20"/>
        <v/>
      </c>
      <c r="BS42" s="154" t="str">
        <f t="shared" si="20"/>
        <v/>
      </c>
      <c r="BT42" s="154" t="str">
        <f t="shared" si="20"/>
        <v/>
      </c>
      <c r="BU42" s="154" t="str">
        <f t="shared" si="20"/>
        <v/>
      </c>
      <c r="BV42" s="154" t="str">
        <f t="shared" si="20"/>
        <v/>
      </c>
      <c r="BW42" s="154" t="str">
        <f t="shared" si="20"/>
        <v/>
      </c>
      <c r="BX42" s="154" t="str">
        <f t="shared" si="20"/>
        <v/>
      </c>
      <c r="BY42" s="154" t="str">
        <f t="shared" si="20"/>
        <v/>
      </c>
      <c r="BZ42" s="154" t="str">
        <f t="shared" si="20"/>
        <v/>
      </c>
      <c r="CA42" s="154" t="str">
        <f t="shared" si="20"/>
        <v/>
      </c>
      <c r="CB42" s="154" t="str">
        <f t="shared" si="20"/>
        <v/>
      </c>
      <c r="CC42" s="154" t="str">
        <f t="shared" si="20"/>
        <v/>
      </c>
      <c r="CD42" s="154" t="str">
        <f t="shared" si="20"/>
        <v/>
      </c>
      <c r="CE42" s="154" t="str">
        <f t="shared" si="20"/>
        <v/>
      </c>
      <c r="CF42" s="155">
        <f t="shared" si="17"/>
        <v>0</v>
      </c>
      <c r="CG42" s="156">
        <f t="shared" si="18"/>
        <v>0</v>
      </c>
    </row>
    <row r="43" spans="1:85" ht="12" customHeight="1">
      <c r="A43" s="149">
        <v>8</v>
      </c>
      <c r="B43" s="150" t="s">
        <v>292</v>
      </c>
      <c r="C43" s="150" t="s">
        <v>277</v>
      </c>
      <c r="D43" s="150" t="s">
        <v>387</v>
      </c>
      <c r="E43" s="173">
        <v>2</v>
      </c>
      <c r="F43" s="297"/>
      <c r="G43" s="175">
        <f t="shared" si="15"/>
        <v>2</v>
      </c>
      <c r="H43" s="150"/>
      <c r="I43" s="200"/>
      <c r="J43" s="150"/>
      <c r="K43" s="150"/>
      <c r="L43" s="150"/>
      <c r="M43" s="151"/>
      <c r="N43" s="149"/>
      <c r="O43" s="149"/>
      <c r="P43" s="152"/>
      <c r="Q43" s="151"/>
      <c r="R43" s="149"/>
      <c r="S43" s="149"/>
      <c r="T43" s="152"/>
      <c r="U43" s="151"/>
      <c r="V43" s="149"/>
      <c r="W43" s="149"/>
      <c r="X43" s="152"/>
      <c r="Y43" s="151"/>
      <c r="Z43" s="149"/>
      <c r="AA43" s="149"/>
      <c r="AB43" s="152"/>
      <c r="AC43" s="153"/>
      <c r="AD43" s="154" t="str">
        <f t="shared" si="20"/>
        <v/>
      </c>
      <c r="AE43" s="154" t="str">
        <f t="shared" si="20"/>
        <v/>
      </c>
      <c r="AF43" s="154" t="str">
        <f t="shared" si="20"/>
        <v/>
      </c>
      <c r="AG43" s="154" t="str">
        <f t="shared" si="20"/>
        <v/>
      </c>
      <c r="AH43" s="154" t="str">
        <f t="shared" si="20"/>
        <v/>
      </c>
      <c r="AI43" s="154" t="str">
        <f t="shared" si="20"/>
        <v/>
      </c>
      <c r="AJ43" s="154" t="str">
        <f t="shared" si="20"/>
        <v/>
      </c>
      <c r="AK43" s="154" t="str">
        <f t="shared" si="20"/>
        <v/>
      </c>
      <c r="AL43" s="154" t="str">
        <f t="shared" si="20"/>
        <v/>
      </c>
      <c r="AM43" s="154" t="str">
        <f t="shared" si="20"/>
        <v/>
      </c>
      <c r="AN43" s="154" t="str">
        <f t="shared" si="20"/>
        <v/>
      </c>
      <c r="AO43" s="154" t="str">
        <f t="shared" si="20"/>
        <v/>
      </c>
      <c r="AP43" s="154" t="str">
        <f t="shared" si="20"/>
        <v/>
      </c>
      <c r="AQ43" s="154" t="str">
        <f t="shared" si="20"/>
        <v/>
      </c>
      <c r="AR43" s="154" t="str">
        <f t="shared" si="20"/>
        <v/>
      </c>
      <c r="AS43" s="154" t="str">
        <f t="shared" si="20"/>
        <v/>
      </c>
      <c r="AT43" s="154" t="str">
        <f t="shared" si="20"/>
        <v/>
      </c>
      <c r="AU43" s="154" t="str">
        <f t="shared" si="20"/>
        <v/>
      </c>
      <c r="AV43" s="154" t="str">
        <f t="shared" si="20"/>
        <v/>
      </c>
      <c r="AW43" s="154" t="str">
        <f t="shared" si="20"/>
        <v/>
      </c>
      <c r="AX43" s="154" t="str">
        <f t="shared" si="20"/>
        <v/>
      </c>
      <c r="AY43" s="154" t="str">
        <f t="shared" si="20"/>
        <v/>
      </c>
      <c r="AZ43" s="154" t="str">
        <f t="shared" si="20"/>
        <v/>
      </c>
      <c r="BA43" s="154" t="str">
        <f t="shared" si="20"/>
        <v/>
      </c>
      <c r="BB43" s="154" t="str">
        <f t="shared" si="20"/>
        <v/>
      </c>
      <c r="BC43" s="154" t="str">
        <f t="shared" si="20"/>
        <v/>
      </c>
      <c r="BD43" s="154" t="str">
        <f t="shared" si="20"/>
        <v/>
      </c>
      <c r="BE43" s="154" t="str">
        <f t="shared" si="20"/>
        <v/>
      </c>
      <c r="BF43" s="154" t="str">
        <f t="shared" si="20"/>
        <v/>
      </c>
      <c r="BG43" s="154" t="str">
        <f t="shared" si="20"/>
        <v/>
      </c>
      <c r="BH43" s="154" t="str">
        <f t="shared" si="20"/>
        <v/>
      </c>
      <c r="BI43" s="154" t="str">
        <f t="shared" si="20"/>
        <v/>
      </c>
      <c r="BJ43" s="154" t="str">
        <f t="shared" si="20"/>
        <v/>
      </c>
      <c r="BK43" s="154" t="str">
        <f t="shared" si="20"/>
        <v/>
      </c>
      <c r="BL43" s="154" t="str">
        <f t="shared" si="20"/>
        <v/>
      </c>
      <c r="BM43" s="154" t="str">
        <f t="shared" si="20"/>
        <v/>
      </c>
      <c r="BN43" s="154" t="str">
        <f t="shared" si="20"/>
        <v/>
      </c>
      <c r="BO43" s="154" t="str">
        <f t="shared" si="20"/>
        <v/>
      </c>
      <c r="BP43" s="154" t="str">
        <f t="shared" si="20"/>
        <v/>
      </c>
      <c r="BQ43" s="154" t="str">
        <f t="shared" si="20"/>
        <v/>
      </c>
      <c r="BR43" s="154" t="str">
        <f t="shared" si="20"/>
        <v/>
      </c>
      <c r="BS43" s="154" t="str">
        <f t="shared" si="20"/>
        <v/>
      </c>
      <c r="BT43" s="154" t="str">
        <f t="shared" si="20"/>
        <v/>
      </c>
      <c r="BU43" s="154" t="str">
        <f t="shared" si="20"/>
        <v/>
      </c>
      <c r="BV43" s="154" t="str">
        <f t="shared" si="20"/>
        <v/>
      </c>
      <c r="BW43" s="154" t="str">
        <f t="shared" si="20"/>
        <v/>
      </c>
      <c r="BX43" s="154" t="str">
        <f t="shared" si="20"/>
        <v/>
      </c>
      <c r="BY43" s="154" t="str">
        <f t="shared" si="20"/>
        <v/>
      </c>
      <c r="BZ43" s="154" t="str">
        <f t="shared" si="20"/>
        <v/>
      </c>
      <c r="CA43" s="154" t="str">
        <f t="shared" si="20"/>
        <v/>
      </c>
      <c r="CB43" s="154" t="str">
        <f t="shared" si="20"/>
        <v/>
      </c>
      <c r="CC43" s="154" t="str">
        <f t="shared" si="20"/>
        <v/>
      </c>
      <c r="CD43" s="154" t="str">
        <f t="shared" si="20"/>
        <v/>
      </c>
      <c r="CE43" s="154" t="str">
        <f t="shared" si="20"/>
        <v/>
      </c>
      <c r="CF43" s="155">
        <f t="shared" si="17"/>
        <v>0</v>
      </c>
      <c r="CG43" s="156">
        <f t="shared" si="18"/>
        <v>0</v>
      </c>
    </row>
    <row r="44" spans="1:85" ht="12" customHeight="1">
      <c r="A44" s="149">
        <v>9</v>
      </c>
      <c r="B44" s="150" t="s">
        <v>293</v>
      </c>
      <c r="C44" s="150" t="s">
        <v>285</v>
      </c>
      <c r="D44" s="150" t="s">
        <v>387</v>
      </c>
      <c r="E44" s="173">
        <v>4</v>
      </c>
      <c r="F44" s="297"/>
      <c r="G44" s="175">
        <f t="shared" si="15"/>
        <v>4</v>
      </c>
      <c r="H44" s="150"/>
      <c r="I44" s="200"/>
      <c r="J44" s="150"/>
      <c r="K44" s="150"/>
      <c r="L44" s="150"/>
      <c r="M44" s="151"/>
      <c r="N44" s="149"/>
      <c r="O44" s="149"/>
      <c r="P44" s="152"/>
      <c r="Q44" s="151"/>
      <c r="R44" s="149"/>
      <c r="S44" s="149"/>
      <c r="T44" s="152"/>
      <c r="U44" s="151"/>
      <c r="V44" s="149"/>
      <c r="W44" s="149"/>
      <c r="X44" s="152"/>
      <c r="Y44" s="151"/>
      <c r="Z44" s="149"/>
      <c r="AA44" s="149"/>
      <c r="AB44" s="152"/>
      <c r="AC44" s="153"/>
      <c r="AD44" s="154" t="str">
        <f t="shared" si="20"/>
        <v/>
      </c>
      <c r="AE44" s="154" t="str">
        <f t="shared" si="20"/>
        <v/>
      </c>
      <c r="AF44" s="154" t="str">
        <f t="shared" si="20"/>
        <v/>
      </c>
      <c r="AG44" s="154" t="str">
        <f t="shared" si="20"/>
        <v/>
      </c>
      <c r="AH44" s="154" t="str">
        <f t="shared" si="20"/>
        <v/>
      </c>
      <c r="AI44" s="154" t="str">
        <f t="shared" si="20"/>
        <v/>
      </c>
      <c r="AJ44" s="154" t="str">
        <f t="shared" si="20"/>
        <v/>
      </c>
      <c r="AK44" s="154" t="str">
        <f t="shared" si="20"/>
        <v/>
      </c>
      <c r="AL44" s="154" t="str">
        <f t="shared" si="20"/>
        <v/>
      </c>
      <c r="AM44" s="154" t="str">
        <f t="shared" si="20"/>
        <v/>
      </c>
      <c r="AN44" s="154" t="str">
        <f t="shared" si="20"/>
        <v/>
      </c>
      <c r="AO44" s="154" t="str">
        <f t="shared" si="20"/>
        <v/>
      </c>
      <c r="AP44" s="154" t="str">
        <f t="shared" si="20"/>
        <v/>
      </c>
      <c r="AQ44" s="154" t="str">
        <f t="shared" si="20"/>
        <v/>
      </c>
      <c r="AR44" s="154" t="str">
        <f t="shared" si="20"/>
        <v/>
      </c>
      <c r="AS44" s="154" t="str">
        <f t="shared" si="20"/>
        <v/>
      </c>
      <c r="AT44" s="154" t="str">
        <f t="shared" si="20"/>
        <v/>
      </c>
      <c r="AU44" s="154" t="str">
        <f t="shared" si="20"/>
        <v/>
      </c>
      <c r="AV44" s="154" t="str">
        <f t="shared" si="20"/>
        <v/>
      </c>
      <c r="AW44" s="154" t="str">
        <f t="shared" si="20"/>
        <v/>
      </c>
      <c r="AX44" s="154" t="str">
        <f t="shared" si="20"/>
        <v/>
      </c>
      <c r="AY44" s="154" t="str">
        <f t="shared" si="20"/>
        <v/>
      </c>
      <c r="AZ44" s="154" t="str">
        <f t="shared" si="20"/>
        <v/>
      </c>
      <c r="BA44" s="154" t="str">
        <f t="shared" si="20"/>
        <v/>
      </c>
      <c r="BB44" s="154" t="str">
        <f t="shared" si="20"/>
        <v/>
      </c>
      <c r="BC44" s="154" t="str">
        <f t="shared" si="20"/>
        <v/>
      </c>
      <c r="BD44" s="154" t="str">
        <f t="shared" si="20"/>
        <v/>
      </c>
      <c r="BE44" s="154" t="str">
        <f t="shared" si="20"/>
        <v/>
      </c>
      <c r="BF44" s="154" t="str">
        <f t="shared" si="20"/>
        <v/>
      </c>
      <c r="BG44" s="154" t="str">
        <f t="shared" si="20"/>
        <v/>
      </c>
      <c r="BH44" s="154" t="str">
        <f t="shared" si="20"/>
        <v/>
      </c>
      <c r="BI44" s="154" t="str">
        <f t="shared" si="20"/>
        <v/>
      </c>
      <c r="BJ44" s="154" t="str">
        <f t="shared" si="20"/>
        <v/>
      </c>
      <c r="BK44" s="154" t="str">
        <f t="shared" si="20"/>
        <v/>
      </c>
      <c r="BL44" s="154" t="str">
        <f t="shared" si="20"/>
        <v/>
      </c>
      <c r="BM44" s="154" t="str">
        <f t="shared" si="20"/>
        <v/>
      </c>
      <c r="BN44" s="154" t="str">
        <f t="shared" si="20"/>
        <v/>
      </c>
      <c r="BO44" s="154" t="str">
        <f t="shared" si="20"/>
        <v/>
      </c>
      <c r="BP44" s="154" t="str">
        <f t="shared" si="20"/>
        <v/>
      </c>
      <c r="BQ44" s="154" t="str">
        <f t="shared" si="20"/>
        <v/>
      </c>
      <c r="BR44" s="154" t="str">
        <f t="shared" si="20"/>
        <v/>
      </c>
      <c r="BS44" s="154" t="str">
        <f t="shared" si="20"/>
        <v/>
      </c>
      <c r="BT44" s="154" t="str">
        <f t="shared" si="20"/>
        <v/>
      </c>
      <c r="BU44" s="154" t="str">
        <f t="shared" si="20"/>
        <v/>
      </c>
      <c r="BV44" s="154" t="str">
        <f t="shared" si="20"/>
        <v/>
      </c>
      <c r="BW44" s="154" t="str">
        <f t="shared" si="20"/>
        <v/>
      </c>
      <c r="BX44" s="154" t="str">
        <f t="shared" si="20"/>
        <v/>
      </c>
      <c r="BY44" s="154" t="str">
        <f t="shared" si="20"/>
        <v/>
      </c>
      <c r="BZ44" s="154" t="str">
        <f t="shared" si="20"/>
        <v/>
      </c>
      <c r="CA44" s="154" t="str">
        <f t="shared" si="20"/>
        <v/>
      </c>
      <c r="CB44" s="154" t="str">
        <f t="shared" si="20"/>
        <v/>
      </c>
      <c r="CC44" s="154" t="str">
        <f t="shared" si="20"/>
        <v/>
      </c>
      <c r="CD44" s="154" t="str">
        <f t="shared" si="20"/>
        <v/>
      </c>
      <c r="CE44" s="154" t="str">
        <f t="shared" si="20"/>
        <v/>
      </c>
      <c r="CF44" s="155">
        <f t="shared" si="17"/>
        <v>0</v>
      </c>
      <c r="CG44" s="156">
        <f t="shared" si="18"/>
        <v>0</v>
      </c>
    </row>
    <row r="45" spans="1:85" ht="12" customHeight="1">
      <c r="A45" s="149">
        <v>10</v>
      </c>
      <c r="B45" s="150" t="s">
        <v>294</v>
      </c>
      <c r="C45" s="150" t="s">
        <v>291</v>
      </c>
      <c r="D45" s="150" t="s">
        <v>387</v>
      </c>
      <c r="E45" s="173">
        <v>4</v>
      </c>
      <c r="F45" s="297"/>
      <c r="G45" s="175">
        <f t="shared" si="15"/>
        <v>4</v>
      </c>
      <c r="H45" s="150"/>
      <c r="I45" s="200"/>
      <c r="J45" s="150"/>
      <c r="K45" s="150"/>
      <c r="L45" s="150"/>
      <c r="M45" s="151"/>
      <c r="N45" s="149"/>
      <c r="O45" s="149"/>
      <c r="P45" s="152"/>
      <c r="Q45" s="151"/>
      <c r="R45" s="149"/>
      <c r="S45" s="149"/>
      <c r="T45" s="152"/>
      <c r="U45" s="151"/>
      <c r="V45" s="149"/>
      <c r="W45" s="149"/>
      <c r="X45" s="152"/>
      <c r="Y45" s="151"/>
      <c r="Z45" s="149"/>
      <c r="AA45" s="149"/>
      <c r="AB45" s="152"/>
      <c r="AC45" s="153"/>
      <c r="AD45" s="154" t="str">
        <f t="shared" si="20"/>
        <v/>
      </c>
      <c r="AE45" s="154" t="str">
        <f t="shared" si="20"/>
        <v/>
      </c>
      <c r="AF45" s="154" t="str">
        <f t="shared" si="20"/>
        <v/>
      </c>
      <c r="AG45" s="154" t="str">
        <f t="shared" si="20"/>
        <v/>
      </c>
      <c r="AH45" s="154" t="str">
        <f t="shared" si="20"/>
        <v/>
      </c>
      <c r="AI45" s="154" t="str">
        <f t="shared" si="20"/>
        <v/>
      </c>
      <c r="AJ45" s="154" t="str">
        <f t="shared" si="20"/>
        <v/>
      </c>
      <c r="AK45" s="154" t="str">
        <f t="shared" si="20"/>
        <v/>
      </c>
      <c r="AL45" s="154" t="str">
        <f t="shared" si="20"/>
        <v/>
      </c>
      <c r="AM45" s="154" t="str">
        <f t="shared" si="20"/>
        <v/>
      </c>
      <c r="AN45" s="154" t="str">
        <f t="shared" si="20"/>
        <v/>
      </c>
      <c r="AO45" s="154" t="str">
        <f t="shared" si="20"/>
        <v/>
      </c>
      <c r="AP45" s="154" t="str">
        <f t="shared" si="20"/>
        <v/>
      </c>
      <c r="AQ45" s="154" t="str">
        <f t="shared" si="20"/>
        <v/>
      </c>
      <c r="AR45" s="154" t="str">
        <f t="shared" si="20"/>
        <v/>
      </c>
      <c r="AS45" s="154" t="str">
        <f t="shared" si="20"/>
        <v/>
      </c>
      <c r="AT45" s="154" t="str">
        <f t="shared" si="20"/>
        <v/>
      </c>
      <c r="AU45" s="154" t="str">
        <f t="shared" si="20"/>
        <v/>
      </c>
      <c r="AV45" s="154" t="str">
        <f t="shared" si="20"/>
        <v/>
      </c>
      <c r="AW45" s="154" t="str">
        <f t="shared" si="20"/>
        <v/>
      </c>
      <c r="AX45" s="154" t="str">
        <f t="shared" si="20"/>
        <v/>
      </c>
      <c r="AY45" s="154" t="str">
        <f t="shared" si="20"/>
        <v/>
      </c>
      <c r="AZ45" s="154" t="str">
        <f t="shared" si="20"/>
        <v/>
      </c>
      <c r="BA45" s="154" t="str">
        <f t="shared" si="20"/>
        <v/>
      </c>
      <c r="BB45" s="154" t="str">
        <f t="shared" si="20"/>
        <v/>
      </c>
      <c r="BC45" s="154" t="str">
        <f t="shared" si="20"/>
        <v/>
      </c>
      <c r="BD45" s="154" t="str">
        <f t="shared" si="20"/>
        <v/>
      </c>
      <c r="BE45" s="154" t="str">
        <f t="shared" si="20"/>
        <v/>
      </c>
      <c r="BF45" s="154" t="str">
        <f t="shared" si="20"/>
        <v/>
      </c>
      <c r="BG45" s="154" t="str">
        <f t="shared" si="20"/>
        <v/>
      </c>
      <c r="BH45" s="154" t="str">
        <f t="shared" si="20"/>
        <v/>
      </c>
      <c r="BI45" s="154" t="str">
        <f t="shared" si="20"/>
        <v/>
      </c>
      <c r="BJ45" s="154" t="str">
        <f t="shared" si="20"/>
        <v/>
      </c>
      <c r="BK45" s="154" t="str">
        <f t="shared" si="20"/>
        <v/>
      </c>
      <c r="BL45" s="154" t="str">
        <f t="shared" si="20"/>
        <v/>
      </c>
      <c r="BM45" s="154" t="str">
        <f t="shared" si="20"/>
        <v/>
      </c>
      <c r="BN45" s="154" t="str">
        <f t="shared" si="20"/>
        <v/>
      </c>
      <c r="BO45" s="154" t="str">
        <f t="shared" si="20"/>
        <v/>
      </c>
      <c r="BP45" s="154" t="str">
        <f t="shared" si="20"/>
        <v/>
      </c>
      <c r="BQ45" s="154" t="str">
        <f t="shared" ref="BQ45:CE45" si="21">IF(BQ$9=$M45,$P45,IF(BQ$9=$Q45,$T45,IF(BQ$9=$U45,$X45,IF(BQ$9=$Y45,$AB45,IF(BQ$9=$L45,"ПС",IF(BQ$9=$I45,"КС",IF(AND(BQ$9&lt;$I45,BQ$9&gt;$L45),"--","")))))))</f>
        <v/>
      </c>
      <c r="BR45" s="154" t="str">
        <f t="shared" si="21"/>
        <v/>
      </c>
      <c r="BS45" s="154" t="str">
        <f t="shared" si="21"/>
        <v/>
      </c>
      <c r="BT45" s="154" t="str">
        <f t="shared" si="21"/>
        <v/>
      </c>
      <c r="BU45" s="154" t="str">
        <f t="shared" si="21"/>
        <v/>
      </c>
      <c r="BV45" s="154" t="str">
        <f t="shared" si="21"/>
        <v/>
      </c>
      <c r="BW45" s="154" t="str">
        <f t="shared" si="21"/>
        <v/>
      </c>
      <c r="BX45" s="154" t="str">
        <f t="shared" si="21"/>
        <v/>
      </c>
      <c r="BY45" s="154" t="str">
        <f t="shared" si="21"/>
        <v/>
      </c>
      <c r="BZ45" s="154" t="str">
        <f t="shared" si="21"/>
        <v/>
      </c>
      <c r="CA45" s="154" t="str">
        <f t="shared" si="21"/>
        <v/>
      </c>
      <c r="CB45" s="154" t="str">
        <f t="shared" si="21"/>
        <v/>
      </c>
      <c r="CC45" s="154" t="str">
        <f t="shared" si="21"/>
        <v/>
      </c>
      <c r="CD45" s="154" t="str">
        <f t="shared" si="21"/>
        <v/>
      </c>
      <c r="CE45" s="154" t="str">
        <f t="shared" si="21"/>
        <v/>
      </c>
      <c r="CF45" s="155">
        <f t="shared" si="17"/>
        <v>0</v>
      </c>
      <c r="CG45" s="156">
        <f t="shared" si="18"/>
        <v>0</v>
      </c>
    </row>
    <row r="46" spans="1:85" s="148" customFormat="1" ht="15" customHeight="1">
      <c r="A46" s="294" t="s">
        <v>446</v>
      </c>
      <c r="B46" s="295"/>
      <c r="C46" s="139"/>
      <c r="D46" s="139"/>
      <c r="E46" s="139"/>
      <c r="F46" s="297"/>
      <c r="G46" s="139"/>
      <c r="H46" s="140"/>
      <c r="I46" s="140"/>
      <c r="J46" s="140"/>
      <c r="K46" s="141"/>
      <c r="L46" s="141"/>
      <c r="M46" s="142"/>
      <c r="N46" s="143"/>
      <c r="O46" s="143"/>
      <c r="P46" s="144"/>
      <c r="Q46" s="142"/>
      <c r="R46" s="143"/>
      <c r="S46" s="143"/>
      <c r="T46" s="144"/>
      <c r="U46" s="142"/>
      <c r="V46" s="143"/>
      <c r="W46" s="143"/>
      <c r="X46" s="144"/>
      <c r="Y46" s="142"/>
      <c r="Z46" s="143"/>
      <c r="AA46" s="143"/>
      <c r="AB46" s="144"/>
      <c r="AC46" s="143"/>
      <c r="AD46" s="145" t="str">
        <f>IF(OR(WEEKDAY(AD$9)=1,WEEKDAY(AD$9)=7),"В",IF(AD$9=$H$3,"О",""))</f>
        <v/>
      </c>
      <c r="AE46" s="145" t="str">
        <f t="shared" ref="AE46:CE46" si="22">IF(OR(WEEKDAY(AE$9)=1,WEEKDAY(AE$9)=7),"В",IF(AE$9=$H$3,"О",""))</f>
        <v/>
      </c>
      <c r="AF46" s="145" t="str">
        <f t="shared" si="22"/>
        <v/>
      </c>
      <c r="AG46" s="145" t="str">
        <f t="shared" si="22"/>
        <v>В</v>
      </c>
      <c r="AH46" s="145" t="str">
        <f t="shared" si="22"/>
        <v>В</v>
      </c>
      <c r="AI46" s="145" t="str">
        <f t="shared" si="22"/>
        <v/>
      </c>
      <c r="AJ46" s="145" t="str">
        <f t="shared" si="22"/>
        <v/>
      </c>
      <c r="AK46" s="145" t="str">
        <f t="shared" si="22"/>
        <v/>
      </c>
      <c r="AL46" s="145" t="str">
        <f t="shared" si="22"/>
        <v/>
      </c>
      <c r="AM46" s="145" t="str">
        <f t="shared" si="22"/>
        <v/>
      </c>
      <c r="AN46" s="145" t="str">
        <f t="shared" si="22"/>
        <v>В</v>
      </c>
      <c r="AO46" s="145" t="str">
        <f t="shared" si="22"/>
        <v>В</v>
      </c>
      <c r="AP46" s="145" t="str">
        <f t="shared" si="22"/>
        <v/>
      </c>
      <c r="AQ46" s="145" t="str">
        <f t="shared" si="22"/>
        <v/>
      </c>
      <c r="AR46" s="145" t="str">
        <f t="shared" si="22"/>
        <v/>
      </c>
      <c r="AS46" s="145" t="str">
        <f t="shared" si="22"/>
        <v/>
      </c>
      <c r="AT46" s="145" t="str">
        <f t="shared" si="22"/>
        <v/>
      </c>
      <c r="AU46" s="145" t="str">
        <f t="shared" si="22"/>
        <v>В</v>
      </c>
      <c r="AV46" s="145" t="str">
        <f t="shared" si="22"/>
        <v>В</v>
      </c>
      <c r="AW46" s="145" t="str">
        <f t="shared" si="22"/>
        <v/>
      </c>
      <c r="AX46" s="145" t="str">
        <f t="shared" si="22"/>
        <v/>
      </c>
      <c r="AY46" s="145" t="str">
        <f t="shared" si="22"/>
        <v/>
      </c>
      <c r="AZ46" s="145" t="str">
        <f t="shared" si="22"/>
        <v/>
      </c>
      <c r="BA46" s="145" t="str">
        <f t="shared" si="22"/>
        <v/>
      </c>
      <c r="BB46" s="145" t="str">
        <f t="shared" si="22"/>
        <v>В</v>
      </c>
      <c r="BC46" s="145" t="str">
        <f t="shared" si="22"/>
        <v>В</v>
      </c>
      <c r="BD46" s="145" t="str">
        <f t="shared" si="22"/>
        <v/>
      </c>
      <c r="BE46" s="145" t="str">
        <f t="shared" si="22"/>
        <v/>
      </c>
      <c r="BF46" s="145" t="str">
        <f t="shared" si="22"/>
        <v/>
      </c>
      <c r="BG46" s="145" t="str">
        <f t="shared" si="22"/>
        <v/>
      </c>
      <c r="BH46" s="145" t="str">
        <f t="shared" si="22"/>
        <v/>
      </c>
      <c r="BI46" s="145" t="str">
        <f t="shared" si="22"/>
        <v>В</v>
      </c>
      <c r="BJ46" s="145" t="str">
        <f t="shared" si="22"/>
        <v>В</v>
      </c>
      <c r="BK46" s="145" t="str">
        <f t="shared" si="22"/>
        <v/>
      </c>
      <c r="BL46" s="145" t="str">
        <f t="shared" si="22"/>
        <v/>
      </c>
      <c r="BM46" s="145" t="str">
        <f t="shared" si="22"/>
        <v/>
      </c>
      <c r="BN46" s="145" t="str">
        <f t="shared" si="22"/>
        <v/>
      </c>
      <c r="BO46" s="145" t="str">
        <f t="shared" si="22"/>
        <v/>
      </c>
      <c r="BP46" s="145" t="str">
        <f t="shared" si="22"/>
        <v>В</v>
      </c>
      <c r="BQ46" s="145" t="str">
        <f t="shared" si="22"/>
        <v>В</v>
      </c>
      <c r="BR46" s="145" t="str">
        <f t="shared" si="22"/>
        <v/>
      </c>
      <c r="BS46" s="145" t="str">
        <f t="shared" si="22"/>
        <v/>
      </c>
      <c r="BT46" s="145" t="str">
        <f t="shared" si="22"/>
        <v/>
      </c>
      <c r="BU46" s="145" t="str">
        <f t="shared" si="22"/>
        <v/>
      </c>
      <c r="BV46" s="145" t="str">
        <f t="shared" si="22"/>
        <v/>
      </c>
      <c r="BW46" s="145" t="str">
        <f t="shared" si="22"/>
        <v>В</v>
      </c>
      <c r="BX46" s="145" t="str">
        <f t="shared" si="22"/>
        <v>В</v>
      </c>
      <c r="BY46" s="145" t="str">
        <f t="shared" si="22"/>
        <v/>
      </c>
      <c r="BZ46" s="145" t="str">
        <f t="shared" si="22"/>
        <v/>
      </c>
      <c r="CA46" s="145" t="str">
        <f t="shared" si="22"/>
        <v/>
      </c>
      <c r="CB46" s="145" t="str">
        <f t="shared" si="22"/>
        <v/>
      </c>
      <c r="CC46" s="145" t="str">
        <f t="shared" si="22"/>
        <v/>
      </c>
      <c r="CD46" s="145" t="str">
        <f t="shared" si="22"/>
        <v>В</v>
      </c>
      <c r="CE46" s="145" t="str">
        <f t="shared" si="22"/>
        <v>В</v>
      </c>
      <c r="CF46" s="146"/>
      <c r="CG46" s="147"/>
    </row>
    <row r="47" spans="1:85" ht="12" customHeight="1">
      <c r="A47" s="149">
        <v>1</v>
      </c>
      <c r="B47" s="150"/>
      <c r="C47" s="150" t="s">
        <v>382</v>
      </c>
      <c r="D47" s="150" t="s">
        <v>381</v>
      </c>
      <c r="E47" s="173">
        <v>4.17</v>
      </c>
      <c r="F47" s="297"/>
      <c r="G47" s="175">
        <f>$F$10*E47</f>
        <v>4.17</v>
      </c>
      <c r="H47" s="150"/>
      <c r="I47" s="200"/>
      <c r="J47" s="150"/>
      <c r="K47" s="150"/>
      <c r="L47" s="150"/>
      <c r="M47" s="151"/>
      <c r="N47" s="149"/>
      <c r="O47" s="149"/>
      <c r="P47" s="152"/>
      <c r="Q47" s="151"/>
      <c r="R47" s="149"/>
      <c r="S47" s="149"/>
      <c r="T47" s="152"/>
      <c r="U47" s="151"/>
      <c r="V47" s="149"/>
      <c r="W47" s="149"/>
      <c r="X47" s="152"/>
      <c r="Y47" s="151"/>
      <c r="Z47" s="149"/>
      <c r="AA47" s="149"/>
      <c r="AB47" s="152"/>
      <c r="AC47" s="153"/>
      <c r="AD47" s="154" t="str">
        <f t="shared" ref="AD47:CE50" si="23">IF(AD$9=$M47,$P47,IF(AD$9=$Q47,$T47,IF(AD$9=$U47,$X47,IF(AD$9=$Y47,$AB47,IF(AD$9=$L47,"ПС",IF(AD$9=$I47,"КС",IF(AND(AD$9&lt;$I47,AD$9&gt;$L47),"--","")))))))</f>
        <v/>
      </c>
      <c r="AE47" s="154" t="str">
        <f t="shared" si="23"/>
        <v/>
      </c>
      <c r="AF47" s="154" t="str">
        <f t="shared" si="23"/>
        <v/>
      </c>
      <c r="AG47" s="154" t="str">
        <f t="shared" si="23"/>
        <v/>
      </c>
      <c r="AH47" s="154" t="str">
        <f t="shared" si="23"/>
        <v/>
      </c>
      <c r="AI47" s="154" t="str">
        <f t="shared" si="23"/>
        <v/>
      </c>
      <c r="AJ47" s="154" t="str">
        <f t="shared" si="23"/>
        <v/>
      </c>
      <c r="AK47" s="154" t="str">
        <f t="shared" si="23"/>
        <v/>
      </c>
      <c r="AL47" s="154" t="str">
        <f t="shared" si="23"/>
        <v/>
      </c>
      <c r="AM47" s="154" t="str">
        <f t="shared" si="23"/>
        <v/>
      </c>
      <c r="AN47" s="154" t="str">
        <f t="shared" si="23"/>
        <v/>
      </c>
      <c r="AO47" s="154" t="str">
        <f t="shared" si="23"/>
        <v/>
      </c>
      <c r="AP47" s="154" t="str">
        <f t="shared" si="23"/>
        <v/>
      </c>
      <c r="AQ47" s="154" t="str">
        <f t="shared" si="23"/>
        <v/>
      </c>
      <c r="AR47" s="154" t="str">
        <f t="shared" si="23"/>
        <v/>
      </c>
      <c r="AS47" s="154" t="str">
        <f t="shared" si="23"/>
        <v/>
      </c>
      <c r="AT47" s="154" t="str">
        <f t="shared" si="23"/>
        <v/>
      </c>
      <c r="AU47" s="154" t="str">
        <f t="shared" si="23"/>
        <v/>
      </c>
      <c r="AV47" s="154" t="str">
        <f t="shared" si="23"/>
        <v/>
      </c>
      <c r="AW47" s="154" t="str">
        <f t="shared" si="23"/>
        <v/>
      </c>
      <c r="AX47" s="154" t="str">
        <f t="shared" si="23"/>
        <v/>
      </c>
      <c r="AY47" s="154" t="str">
        <f t="shared" si="23"/>
        <v/>
      </c>
      <c r="AZ47" s="154" t="str">
        <f t="shared" si="23"/>
        <v/>
      </c>
      <c r="BA47" s="154" t="str">
        <f t="shared" si="23"/>
        <v/>
      </c>
      <c r="BB47" s="154" t="str">
        <f t="shared" si="23"/>
        <v/>
      </c>
      <c r="BC47" s="154" t="str">
        <f t="shared" si="23"/>
        <v/>
      </c>
      <c r="BD47" s="154" t="str">
        <f t="shared" si="23"/>
        <v/>
      </c>
      <c r="BE47" s="154" t="str">
        <f t="shared" si="23"/>
        <v/>
      </c>
      <c r="BF47" s="154" t="str">
        <f t="shared" si="23"/>
        <v/>
      </c>
      <c r="BG47" s="154" t="str">
        <f t="shared" si="23"/>
        <v/>
      </c>
      <c r="BH47" s="154" t="str">
        <f t="shared" si="23"/>
        <v/>
      </c>
      <c r="BI47" s="154" t="str">
        <f t="shared" si="23"/>
        <v/>
      </c>
      <c r="BJ47" s="154" t="str">
        <f t="shared" si="23"/>
        <v/>
      </c>
      <c r="BK47" s="154" t="str">
        <f t="shared" si="23"/>
        <v/>
      </c>
      <c r="BL47" s="154" t="str">
        <f t="shared" si="23"/>
        <v/>
      </c>
      <c r="BM47" s="154" t="str">
        <f t="shared" si="23"/>
        <v/>
      </c>
      <c r="BN47" s="154" t="str">
        <f t="shared" si="23"/>
        <v/>
      </c>
      <c r="BO47" s="154" t="str">
        <f t="shared" si="23"/>
        <v/>
      </c>
      <c r="BP47" s="154" t="str">
        <f t="shared" si="23"/>
        <v/>
      </c>
      <c r="BQ47" s="154" t="str">
        <f t="shared" si="23"/>
        <v/>
      </c>
      <c r="BR47" s="154" t="str">
        <f t="shared" si="23"/>
        <v/>
      </c>
      <c r="BS47" s="154" t="str">
        <f t="shared" si="23"/>
        <v/>
      </c>
      <c r="BT47" s="154" t="str">
        <f t="shared" si="23"/>
        <v/>
      </c>
      <c r="BU47" s="154" t="str">
        <f t="shared" si="23"/>
        <v/>
      </c>
      <c r="BV47" s="154" t="str">
        <f t="shared" si="23"/>
        <v/>
      </c>
      <c r="BW47" s="154" t="str">
        <f t="shared" si="23"/>
        <v/>
      </c>
      <c r="BX47" s="154" t="str">
        <f t="shared" si="23"/>
        <v/>
      </c>
      <c r="BY47" s="154" t="str">
        <f t="shared" si="23"/>
        <v/>
      </c>
      <c r="BZ47" s="154" t="str">
        <f t="shared" si="23"/>
        <v/>
      </c>
      <c r="CA47" s="154" t="str">
        <f t="shared" si="23"/>
        <v/>
      </c>
      <c r="CB47" s="154" t="str">
        <f t="shared" si="23"/>
        <v/>
      </c>
      <c r="CC47" s="154" t="str">
        <f t="shared" si="23"/>
        <v/>
      </c>
      <c r="CD47" s="154" t="str">
        <f t="shared" si="23"/>
        <v/>
      </c>
      <c r="CE47" s="154" t="str">
        <f t="shared" si="23"/>
        <v/>
      </c>
      <c r="CF47" s="155">
        <f>SUM(AB47+X47+T47+P47)</f>
        <v>0</v>
      </c>
      <c r="CG47" s="156">
        <f>CF47/E47</f>
        <v>0</v>
      </c>
    </row>
    <row r="48" spans="1:85" ht="12" customHeight="1">
      <c r="A48" s="149">
        <v>2</v>
      </c>
      <c r="B48" s="150"/>
      <c r="C48" s="150" t="s">
        <v>386</v>
      </c>
      <c r="D48" s="150" t="s">
        <v>384</v>
      </c>
      <c r="E48" s="173">
        <v>0.27500000000000002</v>
      </c>
      <c r="F48" s="297"/>
      <c r="G48" s="175">
        <f>$F$10*E48</f>
        <v>0.27500000000000002</v>
      </c>
      <c r="H48" s="150"/>
      <c r="I48" s="200"/>
      <c r="J48" s="150"/>
      <c r="K48" s="150"/>
      <c r="L48" s="150"/>
      <c r="M48" s="151"/>
      <c r="N48" s="149"/>
      <c r="O48" s="149"/>
      <c r="P48" s="152"/>
      <c r="Q48" s="151"/>
      <c r="R48" s="149"/>
      <c r="S48" s="149"/>
      <c r="T48" s="152"/>
      <c r="U48" s="151"/>
      <c r="V48" s="149"/>
      <c r="W48" s="149"/>
      <c r="X48" s="152"/>
      <c r="Y48" s="151"/>
      <c r="Z48" s="149"/>
      <c r="AA48" s="149"/>
      <c r="AB48" s="152"/>
      <c r="AC48" s="153"/>
      <c r="AD48" s="154" t="str">
        <f t="shared" si="23"/>
        <v/>
      </c>
      <c r="AE48" s="154" t="str">
        <f t="shared" si="23"/>
        <v/>
      </c>
      <c r="AF48" s="154" t="str">
        <f t="shared" si="23"/>
        <v/>
      </c>
      <c r="AG48" s="154" t="str">
        <f t="shared" si="23"/>
        <v/>
      </c>
      <c r="AH48" s="154" t="str">
        <f t="shared" si="23"/>
        <v/>
      </c>
      <c r="AI48" s="154" t="str">
        <f t="shared" si="23"/>
        <v/>
      </c>
      <c r="AJ48" s="154" t="str">
        <f t="shared" si="23"/>
        <v/>
      </c>
      <c r="AK48" s="154" t="str">
        <f t="shared" si="23"/>
        <v/>
      </c>
      <c r="AL48" s="154" t="str">
        <f t="shared" si="23"/>
        <v/>
      </c>
      <c r="AM48" s="154" t="str">
        <f t="shared" si="23"/>
        <v/>
      </c>
      <c r="AN48" s="154" t="str">
        <f t="shared" si="23"/>
        <v/>
      </c>
      <c r="AO48" s="154" t="str">
        <f t="shared" si="23"/>
        <v/>
      </c>
      <c r="AP48" s="154" t="str">
        <f t="shared" si="23"/>
        <v/>
      </c>
      <c r="AQ48" s="154" t="str">
        <f t="shared" si="23"/>
        <v/>
      </c>
      <c r="AR48" s="154" t="str">
        <f t="shared" si="23"/>
        <v/>
      </c>
      <c r="AS48" s="154" t="str">
        <f t="shared" si="23"/>
        <v/>
      </c>
      <c r="AT48" s="154" t="str">
        <f t="shared" si="23"/>
        <v/>
      </c>
      <c r="AU48" s="154" t="str">
        <f t="shared" si="23"/>
        <v/>
      </c>
      <c r="AV48" s="154" t="str">
        <f t="shared" si="23"/>
        <v/>
      </c>
      <c r="AW48" s="154" t="str">
        <f t="shared" si="23"/>
        <v/>
      </c>
      <c r="AX48" s="154" t="str">
        <f t="shared" si="23"/>
        <v/>
      </c>
      <c r="AY48" s="154" t="str">
        <f t="shared" si="23"/>
        <v/>
      </c>
      <c r="AZ48" s="154" t="str">
        <f t="shared" si="23"/>
        <v/>
      </c>
      <c r="BA48" s="154" t="str">
        <f t="shared" si="23"/>
        <v/>
      </c>
      <c r="BB48" s="154" t="str">
        <f t="shared" si="23"/>
        <v/>
      </c>
      <c r="BC48" s="154" t="str">
        <f t="shared" si="23"/>
        <v/>
      </c>
      <c r="BD48" s="154" t="str">
        <f t="shared" si="23"/>
        <v/>
      </c>
      <c r="BE48" s="154" t="str">
        <f t="shared" si="23"/>
        <v/>
      </c>
      <c r="BF48" s="154" t="str">
        <f t="shared" si="23"/>
        <v/>
      </c>
      <c r="BG48" s="154" t="str">
        <f t="shared" si="23"/>
        <v/>
      </c>
      <c r="BH48" s="154" t="str">
        <f t="shared" si="23"/>
        <v/>
      </c>
      <c r="BI48" s="154" t="str">
        <f t="shared" si="23"/>
        <v/>
      </c>
      <c r="BJ48" s="154" t="str">
        <f t="shared" si="23"/>
        <v/>
      </c>
      <c r="BK48" s="154" t="str">
        <f t="shared" si="23"/>
        <v/>
      </c>
      <c r="BL48" s="154" t="str">
        <f t="shared" si="23"/>
        <v/>
      </c>
      <c r="BM48" s="154" t="str">
        <f t="shared" si="23"/>
        <v/>
      </c>
      <c r="BN48" s="154" t="str">
        <f t="shared" si="23"/>
        <v/>
      </c>
      <c r="BO48" s="154" t="str">
        <f t="shared" si="23"/>
        <v/>
      </c>
      <c r="BP48" s="154" t="str">
        <f t="shared" si="23"/>
        <v/>
      </c>
      <c r="BQ48" s="154" t="str">
        <f t="shared" si="23"/>
        <v/>
      </c>
      <c r="BR48" s="154" t="str">
        <f t="shared" si="23"/>
        <v/>
      </c>
      <c r="BS48" s="154" t="str">
        <f t="shared" si="23"/>
        <v/>
      </c>
      <c r="BT48" s="154" t="str">
        <f t="shared" si="23"/>
        <v/>
      </c>
      <c r="BU48" s="154" t="str">
        <f t="shared" si="23"/>
        <v/>
      </c>
      <c r="BV48" s="154" t="str">
        <f t="shared" si="23"/>
        <v/>
      </c>
      <c r="BW48" s="154" t="str">
        <f t="shared" si="23"/>
        <v/>
      </c>
      <c r="BX48" s="154" t="str">
        <f t="shared" si="23"/>
        <v/>
      </c>
      <c r="BY48" s="154" t="str">
        <f t="shared" si="23"/>
        <v/>
      </c>
      <c r="BZ48" s="154" t="str">
        <f t="shared" si="23"/>
        <v/>
      </c>
      <c r="CA48" s="154" t="str">
        <f t="shared" si="23"/>
        <v/>
      </c>
      <c r="CB48" s="154" t="str">
        <f t="shared" si="23"/>
        <v/>
      </c>
      <c r="CC48" s="154" t="str">
        <f t="shared" si="23"/>
        <v/>
      </c>
      <c r="CD48" s="154" t="str">
        <f t="shared" si="23"/>
        <v/>
      </c>
      <c r="CE48" s="154" t="str">
        <f t="shared" si="23"/>
        <v/>
      </c>
      <c r="CF48" s="155">
        <f>SUM(AB48+X48+T48+P48)</f>
        <v>0</v>
      </c>
      <c r="CG48" s="156">
        <f>CF48/E48</f>
        <v>0</v>
      </c>
    </row>
    <row r="49" spans="1:85" ht="12" customHeight="1">
      <c r="A49" s="149">
        <v>3</v>
      </c>
      <c r="B49" s="150"/>
      <c r="C49" s="150" t="s">
        <v>385</v>
      </c>
      <c r="D49" s="150" t="s">
        <v>384</v>
      </c>
      <c r="E49" s="173">
        <v>17.039000000000001</v>
      </c>
      <c r="F49" s="297"/>
      <c r="G49" s="175">
        <f>$F$10*E49</f>
        <v>17.039000000000001</v>
      </c>
      <c r="H49" s="150"/>
      <c r="I49" s="200"/>
      <c r="J49" s="150"/>
      <c r="K49" s="150"/>
      <c r="L49" s="150"/>
      <c r="M49" s="151"/>
      <c r="N49" s="149"/>
      <c r="O49" s="149"/>
      <c r="P49" s="152"/>
      <c r="Q49" s="151"/>
      <c r="R49" s="149"/>
      <c r="S49" s="149"/>
      <c r="T49" s="152"/>
      <c r="U49" s="151"/>
      <c r="V49" s="149"/>
      <c r="W49" s="149"/>
      <c r="X49" s="152"/>
      <c r="Y49" s="151"/>
      <c r="Z49" s="149"/>
      <c r="AA49" s="149"/>
      <c r="AB49" s="152"/>
      <c r="AC49" s="153"/>
      <c r="AD49" s="154" t="str">
        <f t="shared" si="23"/>
        <v/>
      </c>
      <c r="AE49" s="154" t="str">
        <f t="shared" si="23"/>
        <v/>
      </c>
      <c r="AF49" s="154" t="str">
        <f t="shared" si="23"/>
        <v/>
      </c>
      <c r="AG49" s="154" t="str">
        <f t="shared" si="23"/>
        <v/>
      </c>
      <c r="AH49" s="154" t="str">
        <f t="shared" si="23"/>
        <v/>
      </c>
      <c r="AI49" s="154" t="str">
        <f t="shared" si="23"/>
        <v/>
      </c>
      <c r="AJ49" s="154" t="str">
        <f t="shared" si="23"/>
        <v/>
      </c>
      <c r="AK49" s="154" t="str">
        <f t="shared" si="23"/>
        <v/>
      </c>
      <c r="AL49" s="154" t="str">
        <f t="shared" si="23"/>
        <v/>
      </c>
      <c r="AM49" s="154" t="str">
        <f t="shared" si="23"/>
        <v/>
      </c>
      <c r="AN49" s="154" t="str">
        <f t="shared" si="23"/>
        <v/>
      </c>
      <c r="AO49" s="154" t="str">
        <f t="shared" si="23"/>
        <v/>
      </c>
      <c r="AP49" s="154" t="str">
        <f t="shared" si="23"/>
        <v/>
      </c>
      <c r="AQ49" s="154" t="str">
        <f t="shared" si="23"/>
        <v/>
      </c>
      <c r="AR49" s="154" t="str">
        <f t="shared" si="23"/>
        <v/>
      </c>
      <c r="AS49" s="154" t="str">
        <f t="shared" si="23"/>
        <v/>
      </c>
      <c r="AT49" s="154" t="str">
        <f t="shared" si="23"/>
        <v/>
      </c>
      <c r="AU49" s="154" t="str">
        <f t="shared" si="23"/>
        <v/>
      </c>
      <c r="AV49" s="154" t="str">
        <f t="shared" si="23"/>
        <v/>
      </c>
      <c r="AW49" s="154" t="str">
        <f t="shared" si="23"/>
        <v/>
      </c>
      <c r="AX49" s="154" t="str">
        <f t="shared" si="23"/>
        <v/>
      </c>
      <c r="AY49" s="154" t="str">
        <f t="shared" si="23"/>
        <v/>
      </c>
      <c r="AZ49" s="154" t="str">
        <f t="shared" si="23"/>
        <v/>
      </c>
      <c r="BA49" s="154" t="str">
        <f t="shared" si="23"/>
        <v/>
      </c>
      <c r="BB49" s="154" t="str">
        <f t="shared" si="23"/>
        <v/>
      </c>
      <c r="BC49" s="154" t="str">
        <f t="shared" si="23"/>
        <v/>
      </c>
      <c r="BD49" s="154" t="str">
        <f t="shared" si="23"/>
        <v/>
      </c>
      <c r="BE49" s="154" t="str">
        <f t="shared" si="23"/>
        <v/>
      </c>
      <c r="BF49" s="154" t="str">
        <f t="shared" si="23"/>
        <v/>
      </c>
      <c r="BG49" s="154" t="str">
        <f t="shared" si="23"/>
        <v/>
      </c>
      <c r="BH49" s="154" t="str">
        <f t="shared" si="23"/>
        <v/>
      </c>
      <c r="BI49" s="154" t="str">
        <f t="shared" si="23"/>
        <v/>
      </c>
      <c r="BJ49" s="154" t="str">
        <f t="shared" si="23"/>
        <v/>
      </c>
      <c r="BK49" s="154" t="str">
        <f t="shared" si="23"/>
        <v/>
      </c>
      <c r="BL49" s="154" t="str">
        <f t="shared" si="23"/>
        <v/>
      </c>
      <c r="BM49" s="154" t="str">
        <f t="shared" si="23"/>
        <v/>
      </c>
      <c r="BN49" s="154" t="str">
        <f t="shared" si="23"/>
        <v/>
      </c>
      <c r="BO49" s="154" t="str">
        <f t="shared" si="23"/>
        <v/>
      </c>
      <c r="BP49" s="154" t="str">
        <f t="shared" si="23"/>
        <v/>
      </c>
      <c r="BQ49" s="154" t="str">
        <f t="shared" si="23"/>
        <v/>
      </c>
      <c r="BR49" s="154" t="str">
        <f t="shared" si="23"/>
        <v/>
      </c>
      <c r="BS49" s="154" t="str">
        <f t="shared" si="23"/>
        <v/>
      </c>
      <c r="BT49" s="154" t="str">
        <f t="shared" si="23"/>
        <v/>
      </c>
      <c r="BU49" s="154" t="str">
        <f t="shared" si="23"/>
        <v/>
      </c>
      <c r="BV49" s="154" t="str">
        <f t="shared" si="23"/>
        <v/>
      </c>
      <c r="BW49" s="154" t="str">
        <f t="shared" si="23"/>
        <v/>
      </c>
      <c r="BX49" s="154" t="str">
        <f t="shared" si="23"/>
        <v/>
      </c>
      <c r="BY49" s="154" t="str">
        <f t="shared" si="23"/>
        <v/>
      </c>
      <c r="BZ49" s="154" t="str">
        <f t="shared" si="23"/>
        <v/>
      </c>
      <c r="CA49" s="154" t="str">
        <f t="shared" si="23"/>
        <v/>
      </c>
      <c r="CB49" s="154" t="str">
        <f t="shared" si="23"/>
        <v/>
      </c>
      <c r="CC49" s="154" t="str">
        <f t="shared" si="23"/>
        <v/>
      </c>
      <c r="CD49" s="154" t="str">
        <f t="shared" si="23"/>
        <v/>
      </c>
      <c r="CE49" s="154" t="str">
        <f t="shared" si="23"/>
        <v/>
      </c>
      <c r="CF49" s="155">
        <f>SUM(AB49+X49+T49+P49)</f>
        <v>0</v>
      </c>
      <c r="CG49" s="156">
        <f>CF49/E49</f>
        <v>0</v>
      </c>
    </row>
    <row r="50" spans="1:85" ht="12" customHeight="1">
      <c r="A50" s="149">
        <v>4</v>
      </c>
      <c r="B50" s="150"/>
      <c r="C50" s="150" t="s">
        <v>383</v>
      </c>
      <c r="D50" s="150" t="s">
        <v>384</v>
      </c>
      <c r="E50" s="173">
        <v>3.3220000000000001</v>
      </c>
      <c r="F50" s="297"/>
      <c r="G50" s="175">
        <f>$F$10*E50</f>
        <v>3.3220000000000001</v>
      </c>
      <c r="H50" s="150"/>
      <c r="I50" s="200"/>
      <c r="J50" s="150"/>
      <c r="K50" s="150"/>
      <c r="L50" s="150"/>
      <c r="M50" s="151"/>
      <c r="N50" s="149"/>
      <c r="O50" s="149"/>
      <c r="P50" s="152"/>
      <c r="Q50" s="151"/>
      <c r="R50" s="149"/>
      <c r="S50" s="149"/>
      <c r="T50" s="152"/>
      <c r="U50" s="151"/>
      <c r="V50" s="149"/>
      <c r="W50" s="149"/>
      <c r="X50" s="152"/>
      <c r="Y50" s="151"/>
      <c r="Z50" s="149"/>
      <c r="AA50" s="149"/>
      <c r="AB50" s="152"/>
      <c r="AC50" s="153"/>
      <c r="AD50" s="154" t="str">
        <f t="shared" si="23"/>
        <v/>
      </c>
      <c r="AE50" s="154" t="str">
        <f t="shared" si="23"/>
        <v/>
      </c>
      <c r="AF50" s="154" t="str">
        <f t="shared" si="23"/>
        <v/>
      </c>
      <c r="AG50" s="154" t="str">
        <f t="shared" si="23"/>
        <v/>
      </c>
      <c r="AH50" s="154" t="str">
        <f t="shared" si="23"/>
        <v/>
      </c>
      <c r="AI50" s="154" t="str">
        <f t="shared" si="23"/>
        <v/>
      </c>
      <c r="AJ50" s="154" t="str">
        <f t="shared" si="23"/>
        <v/>
      </c>
      <c r="AK50" s="154" t="str">
        <f t="shared" si="23"/>
        <v/>
      </c>
      <c r="AL50" s="154" t="str">
        <f t="shared" si="23"/>
        <v/>
      </c>
      <c r="AM50" s="154" t="str">
        <f t="shared" si="23"/>
        <v/>
      </c>
      <c r="AN50" s="154" t="str">
        <f t="shared" si="23"/>
        <v/>
      </c>
      <c r="AO50" s="154" t="str">
        <f t="shared" si="23"/>
        <v/>
      </c>
      <c r="AP50" s="154" t="str">
        <f t="shared" si="23"/>
        <v/>
      </c>
      <c r="AQ50" s="154" t="str">
        <f t="shared" si="23"/>
        <v/>
      </c>
      <c r="AR50" s="154" t="str">
        <f t="shared" si="23"/>
        <v/>
      </c>
      <c r="AS50" s="154" t="str">
        <f t="shared" si="23"/>
        <v/>
      </c>
      <c r="AT50" s="154" t="str">
        <f t="shared" si="23"/>
        <v/>
      </c>
      <c r="AU50" s="154" t="str">
        <f t="shared" si="23"/>
        <v/>
      </c>
      <c r="AV50" s="154" t="str">
        <f t="shared" si="23"/>
        <v/>
      </c>
      <c r="AW50" s="154" t="str">
        <f t="shared" si="23"/>
        <v/>
      </c>
      <c r="AX50" s="154" t="str">
        <f t="shared" si="23"/>
        <v/>
      </c>
      <c r="AY50" s="154" t="str">
        <f t="shared" si="23"/>
        <v/>
      </c>
      <c r="AZ50" s="154" t="str">
        <f t="shared" si="23"/>
        <v/>
      </c>
      <c r="BA50" s="154" t="str">
        <f t="shared" si="23"/>
        <v/>
      </c>
      <c r="BB50" s="154" t="str">
        <f t="shared" si="23"/>
        <v/>
      </c>
      <c r="BC50" s="154" t="str">
        <f t="shared" si="23"/>
        <v/>
      </c>
      <c r="BD50" s="154" t="str">
        <f t="shared" si="23"/>
        <v/>
      </c>
      <c r="BE50" s="154" t="str">
        <f t="shared" si="23"/>
        <v/>
      </c>
      <c r="BF50" s="154" t="str">
        <f t="shared" si="23"/>
        <v/>
      </c>
      <c r="BG50" s="154" t="str">
        <f t="shared" si="23"/>
        <v/>
      </c>
      <c r="BH50" s="154" t="str">
        <f t="shared" si="23"/>
        <v/>
      </c>
      <c r="BI50" s="154" t="str">
        <f t="shared" si="23"/>
        <v/>
      </c>
      <c r="BJ50" s="154" t="str">
        <f t="shared" si="23"/>
        <v/>
      </c>
      <c r="BK50" s="154" t="str">
        <f t="shared" si="23"/>
        <v/>
      </c>
      <c r="BL50" s="154" t="str">
        <f t="shared" si="23"/>
        <v/>
      </c>
      <c r="BM50" s="154" t="str">
        <f t="shared" si="23"/>
        <v/>
      </c>
      <c r="BN50" s="154" t="str">
        <f t="shared" si="23"/>
        <v/>
      </c>
      <c r="BO50" s="154" t="str">
        <f t="shared" si="23"/>
        <v/>
      </c>
      <c r="BP50" s="154" t="str">
        <f t="shared" si="23"/>
        <v/>
      </c>
      <c r="BQ50" s="154" t="str">
        <f t="shared" si="23"/>
        <v/>
      </c>
      <c r="BR50" s="154" t="str">
        <f t="shared" si="23"/>
        <v/>
      </c>
      <c r="BS50" s="154" t="str">
        <f t="shared" si="23"/>
        <v/>
      </c>
      <c r="BT50" s="154" t="str">
        <f t="shared" si="23"/>
        <v/>
      </c>
      <c r="BU50" s="154" t="str">
        <f t="shared" si="23"/>
        <v/>
      </c>
      <c r="BV50" s="154" t="str">
        <f t="shared" si="23"/>
        <v/>
      </c>
      <c r="BW50" s="154" t="str">
        <f t="shared" si="23"/>
        <v/>
      </c>
      <c r="BX50" s="154" t="str">
        <f t="shared" si="23"/>
        <v/>
      </c>
      <c r="BY50" s="154" t="str">
        <f t="shared" si="23"/>
        <v/>
      </c>
      <c r="BZ50" s="154" t="str">
        <f t="shared" si="23"/>
        <v/>
      </c>
      <c r="CA50" s="154" t="str">
        <f t="shared" si="23"/>
        <v/>
      </c>
      <c r="CB50" s="154" t="str">
        <f t="shared" si="23"/>
        <v/>
      </c>
      <c r="CC50" s="154" t="str">
        <f t="shared" si="23"/>
        <v/>
      </c>
      <c r="CD50" s="154" t="str">
        <f t="shared" si="23"/>
        <v/>
      </c>
      <c r="CE50" s="154" t="str">
        <f t="shared" si="23"/>
        <v/>
      </c>
      <c r="CF50" s="155">
        <f>SUM(AB50+X50+T50+P50)</f>
        <v>0</v>
      </c>
      <c r="CG50" s="156">
        <f>CF50/E50</f>
        <v>0</v>
      </c>
    </row>
    <row r="51" spans="1:85" s="148" customFormat="1" ht="15" customHeight="1">
      <c r="A51" s="294" t="s">
        <v>172</v>
      </c>
      <c r="B51" s="295"/>
      <c r="C51" s="139"/>
      <c r="D51" s="139"/>
      <c r="E51" s="139"/>
      <c r="F51" s="297"/>
      <c r="G51" s="139"/>
      <c r="H51" s="140"/>
      <c r="I51" s="140"/>
      <c r="J51" s="140"/>
      <c r="K51" s="141"/>
      <c r="L51" s="141"/>
      <c r="M51" s="142"/>
      <c r="N51" s="143"/>
      <c r="O51" s="143"/>
      <c r="P51" s="144"/>
      <c r="Q51" s="142"/>
      <c r="R51" s="143"/>
      <c r="S51" s="143"/>
      <c r="T51" s="144"/>
      <c r="U51" s="142"/>
      <c r="V51" s="143"/>
      <c r="W51" s="143"/>
      <c r="X51" s="144"/>
      <c r="Y51" s="142"/>
      <c r="Z51" s="143"/>
      <c r="AA51" s="143"/>
      <c r="AB51" s="144"/>
      <c r="AC51" s="143"/>
      <c r="AD51" s="145" t="str">
        <f>IF(OR(WEEKDAY(AD$9)=1,WEEKDAY(AD$9)=7),"В",IF(AD$9=$H$3,"О",""))</f>
        <v/>
      </c>
      <c r="AE51" s="145" t="str">
        <f t="shared" ref="AE51:CE51" si="24">IF(OR(WEEKDAY(AE$9)=1,WEEKDAY(AE$9)=7),"В",IF(AE$9=$H$3,"О",""))</f>
        <v/>
      </c>
      <c r="AF51" s="145" t="str">
        <f t="shared" si="24"/>
        <v/>
      </c>
      <c r="AG51" s="145" t="str">
        <f t="shared" si="24"/>
        <v>В</v>
      </c>
      <c r="AH51" s="145" t="str">
        <f t="shared" si="24"/>
        <v>В</v>
      </c>
      <c r="AI51" s="145" t="str">
        <f t="shared" si="24"/>
        <v/>
      </c>
      <c r="AJ51" s="145" t="str">
        <f t="shared" si="24"/>
        <v/>
      </c>
      <c r="AK51" s="145" t="str">
        <f t="shared" si="24"/>
        <v/>
      </c>
      <c r="AL51" s="145" t="str">
        <f t="shared" si="24"/>
        <v/>
      </c>
      <c r="AM51" s="145" t="str">
        <f t="shared" si="24"/>
        <v/>
      </c>
      <c r="AN51" s="145" t="str">
        <f t="shared" si="24"/>
        <v>В</v>
      </c>
      <c r="AO51" s="145" t="str">
        <f t="shared" si="24"/>
        <v>В</v>
      </c>
      <c r="AP51" s="145" t="str">
        <f t="shared" si="24"/>
        <v/>
      </c>
      <c r="AQ51" s="145" t="str">
        <f t="shared" si="24"/>
        <v/>
      </c>
      <c r="AR51" s="145" t="str">
        <f t="shared" si="24"/>
        <v/>
      </c>
      <c r="AS51" s="145" t="str">
        <f t="shared" si="24"/>
        <v/>
      </c>
      <c r="AT51" s="145" t="str">
        <f t="shared" si="24"/>
        <v/>
      </c>
      <c r="AU51" s="145" t="str">
        <f t="shared" si="24"/>
        <v>В</v>
      </c>
      <c r="AV51" s="145" t="str">
        <f t="shared" si="24"/>
        <v>В</v>
      </c>
      <c r="AW51" s="145" t="str">
        <f t="shared" si="24"/>
        <v/>
      </c>
      <c r="AX51" s="145" t="str">
        <f t="shared" si="24"/>
        <v/>
      </c>
      <c r="AY51" s="145" t="str">
        <f t="shared" si="24"/>
        <v/>
      </c>
      <c r="AZ51" s="145" t="str">
        <f t="shared" si="24"/>
        <v/>
      </c>
      <c r="BA51" s="145" t="str">
        <f t="shared" si="24"/>
        <v/>
      </c>
      <c r="BB51" s="145" t="str">
        <f t="shared" si="24"/>
        <v>В</v>
      </c>
      <c r="BC51" s="145" t="str">
        <f t="shared" si="24"/>
        <v>В</v>
      </c>
      <c r="BD51" s="145" t="str">
        <f t="shared" si="24"/>
        <v/>
      </c>
      <c r="BE51" s="145" t="str">
        <f t="shared" si="24"/>
        <v/>
      </c>
      <c r="BF51" s="145" t="str">
        <f t="shared" si="24"/>
        <v/>
      </c>
      <c r="BG51" s="145" t="str">
        <f t="shared" si="24"/>
        <v/>
      </c>
      <c r="BH51" s="145" t="str">
        <f t="shared" si="24"/>
        <v/>
      </c>
      <c r="BI51" s="145" t="str">
        <f t="shared" si="24"/>
        <v>В</v>
      </c>
      <c r="BJ51" s="145" t="str">
        <f t="shared" si="24"/>
        <v>В</v>
      </c>
      <c r="BK51" s="145" t="str">
        <f t="shared" si="24"/>
        <v/>
      </c>
      <c r="BL51" s="145" t="str">
        <f t="shared" si="24"/>
        <v/>
      </c>
      <c r="BM51" s="145" t="str">
        <f t="shared" si="24"/>
        <v/>
      </c>
      <c r="BN51" s="145" t="str">
        <f t="shared" si="24"/>
        <v/>
      </c>
      <c r="BO51" s="145" t="str">
        <f t="shared" si="24"/>
        <v/>
      </c>
      <c r="BP51" s="145" t="str">
        <f t="shared" si="24"/>
        <v>В</v>
      </c>
      <c r="BQ51" s="145" t="str">
        <f t="shared" si="24"/>
        <v>В</v>
      </c>
      <c r="BR51" s="145" t="str">
        <f t="shared" si="24"/>
        <v/>
      </c>
      <c r="BS51" s="145" t="str">
        <f t="shared" si="24"/>
        <v/>
      </c>
      <c r="BT51" s="145" t="str">
        <f t="shared" si="24"/>
        <v/>
      </c>
      <c r="BU51" s="145" t="str">
        <f t="shared" si="24"/>
        <v/>
      </c>
      <c r="BV51" s="145" t="str">
        <f t="shared" si="24"/>
        <v/>
      </c>
      <c r="BW51" s="145" t="str">
        <f t="shared" si="24"/>
        <v>В</v>
      </c>
      <c r="BX51" s="145" t="str">
        <f t="shared" si="24"/>
        <v>В</v>
      </c>
      <c r="BY51" s="145" t="str">
        <f t="shared" si="24"/>
        <v/>
      </c>
      <c r="BZ51" s="145" t="str">
        <f t="shared" si="24"/>
        <v/>
      </c>
      <c r="CA51" s="145" t="str">
        <f t="shared" si="24"/>
        <v/>
      </c>
      <c r="CB51" s="145" t="str">
        <f t="shared" si="24"/>
        <v/>
      </c>
      <c r="CC51" s="145" t="str">
        <f t="shared" si="24"/>
        <v/>
      </c>
      <c r="CD51" s="145" t="str">
        <f t="shared" si="24"/>
        <v>В</v>
      </c>
      <c r="CE51" s="145" t="str">
        <f t="shared" si="24"/>
        <v>В</v>
      </c>
      <c r="CF51" s="146"/>
      <c r="CG51" s="147"/>
    </row>
    <row r="52" spans="1:85" ht="12" customHeight="1">
      <c r="A52" s="149">
        <v>1</v>
      </c>
      <c r="B52" s="150"/>
      <c r="C52" s="150" t="s">
        <v>359</v>
      </c>
      <c r="D52" s="150" t="s">
        <v>387</v>
      </c>
      <c r="E52" s="173">
        <v>12</v>
      </c>
      <c r="F52" s="297"/>
      <c r="G52" s="175">
        <f t="shared" ref="G52:G64" si="25">$F$10*E52</f>
        <v>12</v>
      </c>
      <c r="H52" s="150"/>
      <c r="I52" s="200"/>
      <c r="J52" s="150"/>
      <c r="K52" s="150"/>
      <c r="L52" s="150"/>
      <c r="M52" s="151"/>
      <c r="N52" s="149"/>
      <c r="O52" s="149"/>
      <c r="P52" s="152"/>
      <c r="Q52" s="151"/>
      <c r="R52" s="149"/>
      <c r="S52" s="149"/>
      <c r="T52" s="152"/>
      <c r="U52" s="151"/>
      <c r="V52" s="149"/>
      <c r="W52" s="149"/>
      <c r="X52" s="152"/>
      <c r="Y52" s="151"/>
      <c r="Z52" s="149"/>
      <c r="AA52" s="149"/>
      <c r="AB52" s="152"/>
      <c r="AC52" s="153"/>
      <c r="AD52" s="154" t="str">
        <f t="shared" ref="AD52:CE56" si="26">IF(AD$9=$M52,$P52,IF(AD$9=$Q52,$T52,IF(AD$9=$U52,$X52,IF(AD$9=$Y52,$AB52,IF(AD$9=$L52,"ПС",IF(AD$9=$I52,"КС",IF(AND(AD$9&lt;$I52,AD$9&gt;$L52),"--","")))))))</f>
        <v/>
      </c>
      <c r="AE52" s="154" t="str">
        <f t="shared" si="26"/>
        <v/>
      </c>
      <c r="AF52" s="154" t="str">
        <f t="shared" si="26"/>
        <v/>
      </c>
      <c r="AG52" s="154" t="str">
        <f t="shared" si="26"/>
        <v/>
      </c>
      <c r="AH52" s="154" t="str">
        <f t="shared" si="26"/>
        <v/>
      </c>
      <c r="AI52" s="154" t="str">
        <f t="shared" si="26"/>
        <v/>
      </c>
      <c r="AJ52" s="154" t="str">
        <f t="shared" si="26"/>
        <v/>
      </c>
      <c r="AK52" s="154" t="str">
        <f t="shared" si="26"/>
        <v/>
      </c>
      <c r="AL52" s="154" t="str">
        <f t="shared" si="26"/>
        <v/>
      </c>
      <c r="AM52" s="154" t="str">
        <f t="shared" si="26"/>
        <v/>
      </c>
      <c r="AN52" s="154" t="str">
        <f t="shared" si="26"/>
        <v/>
      </c>
      <c r="AO52" s="154" t="str">
        <f t="shared" si="26"/>
        <v/>
      </c>
      <c r="AP52" s="154" t="str">
        <f t="shared" si="26"/>
        <v/>
      </c>
      <c r="AQ52" s="154" t="str">
        <f t="shared" si="26"/>
        <v/>
      </c>
      <c r="AR52" s="154" t="str">
        <f t="shared" si="26"/>
        <v/>
      </c>
      <c r="AS52" s="154" t="str">
        <f t="shared" si="26"/>
        <v/>
      </c>
      <c r="AT52" s="154" t="str">
        <f t="shared" si="26"/>
        <v/>
      </c>
      <c r="AU52" s="154" t="str">
        <f t="shared" si="26"/>
        <v/>
      </c>
      <c r="AV52" s="154" t="str">
        <f t="shared" si="26"/>
        <v/>
      </c>
      <c r="AW52" s="154" t="str">
        <f t="shared" si="26"/>
        <v/>
      </c>
      <c r="AX52" s="154" t="str">
        <f t="shared" si="26"/>
        <v/>
      </c>
      <c r="AY52" s="154" t="str">
        <f t="shared" si="26"/>
        <v/>
      </c>
      <c r="AZ52" s="154" t="str">
        <f t="shared" si="26"/>
        <v/>
      </c>
      <c r="BA52" s="154" t="str">
        <f t="shared" si="26"/>
        <v/>
      </c>
      <c r="BB52" s="154" t="str">
        <f t="shared" si="26"/>
        <v/>
      </c>
      <c r="BC52" s="154" t="str">
        <f t="shared" si="26"/>
        <v/>
      </c>
      <c r="BD52" s="154" t="str">
        <f t="shared" si="26"/>
        <v/>
      </c>
      <c r="BE52" s="154" t="str">
        <f t="shared" si="26"/>
        <v/>
      </c>
      <c r="BF52" s="154" t="str">
        <f t="shared" si="26"/>
        <v/>
      </c>
      <c r="BG52" s="154" t="str">
        <f t="shared" si="26"/>
        <v/>
      </c>
      <c r="BH52" s="154" t="str">
        <f t="shared" si="26"/>
        <v/>
      </c>
      <c r="BI52" s="154" t="str">
        <f t="shared" si="26"/>
        <v/>
      </c>
      <c r="BJ52" s="154" t="str">
        <f t="shared" si="26"/>
        <v/>
      </c>
      <c r="BK52" s="154" t="str">
        <f t="shared" si="26"/>
        <v/>
      </c>
      <c r="BL52" s="154" t="str">
        <f t="shared" si="26"/>
        <v/>
      </c>
      <c r="BM52" s="154" t="str">
        <f t="shared" si="26"/>
        <v/>
      </c>
      <c r="BN52" s="154" t="str">
        <f t="shared" si="26"/>
        <v/>
      </c>
      <c r="BO52" s="154" t="str">
        <f t="shared" si="26"/>
        <v/>
      </c>
      <c r="BP52" s="154" t="str">
        <f t="shared" si="26"/>
        <v/>
      </c>
      <c r="BQ52" s="154" t="str">
        <f t="shared" si="26"/>
        <v/>
      </c>
      <c r="BR52" s="154" t="str">
        <f t="shared" si="26"/>
        <v/>
      </c>
      <c r="BS52" s="154" t="str">
        <f t="shared" si="26"/>
        <v/>
      </c>
      <c r="BT52" s="154" t="str">
        <f t="shared" si="26"/>
        <v/>
      </c>
      <c r="BU52" s="154" t="str">
        <f t="shared" si="26"/>
        <v/>
      </c>
      <c r="BV52" s="154" t="str">
        <f t="shared" si="26"/>
        <v/>
      </c>
      <c r="BW52" s="154" t="str">
        <f t="shared" si="26"/>
        <v/>
      </c>
      <c r="BX52" s="154" t="str">
        <f t="shared" si="26"/>
        <v/>
      </c>
      <c r="BY52" s="154" t="str">
        <f t="shared" si="26"/>
        <v/>
      </c>
      <c r="BZ52" s="154" t="str">
        <f t="shared" si="26"/>
        <v/>
      </c>
      <c r="CA52" s="154" t="str">
        <f t="shared" si="26"/>
        <v/>
      </c>
      <c r="CB52" s="154" t="str">
        <f t="shared" si="26"/>
        <v/>
      </c>
      <c r="CC52" s="154" t="str">
        <f t="shared" si="26"/>
        <v/>
      </c>
      <c r="CD52" s="154" t="str">
        <f t="shared" si="26"/>
        <v/>
      </c>
      <c r="CE52" s="154" t="str">
        <f t="shared" si="26"/>
        <v/>
      </c>
      <c r="CF52" s="155">
        <f t="shared" ref="CF52:CF64" si="27">SUM(AB52+X52+T52+P52)</f>
        <v>0</v>
      </c>
      <c r="CG52" s="156">
        <f t="shared" ref="CG52:CG64" si="28">CF52/E52</f>
        <v>0</v>
      </c>
    </row>
    <row r="53" spans="1:85" ht="12" customHeight="1">
      <c r="A53" s="149">
        <v>2</v>
      </c>
      <c r="B53" s="150"/>
      <c r="C53" s="150" t="s">
        <v>362</v>
      </c>
      <c r="D53" s="150" t="s">
        <v>387</v>
      </c>
      <c r="E53" s="173">
        <v>12</v>
      </c>
      <c r="F53" s="297"/>
      <c r="G53" s="175">
        <f t="shared" si="25"/>
        <v>12</v>
      </c>
      <c r="H53" s="150"/>
      <c r="I53" s="200"/>
      <c r="J53" s="150"/>
      <c r="K53" s="150"/>
      <c r="L53" s="150"/>
      <c r="M53" s="151"/>
      <c r="N53" s="149"/>
      <c r="O53" s="149"/>
      <c r="P53" s="152"/>
      <c r="Q53" s="151"/>
      <c r="R53" s="149"/>
      <c r="S53" s="149"/>
      <c r="T53" s="152"/>
      <c r="U53" s="151"/>
      <c r="V53" s="149"/>
      <c r="W53" s="149"/>
      <c r="X53" s="152"/>
      <c r="Y53" s="151"/>
      <c r="Z53" s="149"/>
      <c r="AA53" s="149"/>
      <c r="AB53" s="152"/>
      <c r="AC53" s="153"/>
      <c r="AD53" s="154" t="str">
        <f t="shared" si="26"/>
        <v/>
      </c>
      <c r="AE53" s="154" t="str">
        <f t="shared" si="26"/>
        <v/>
      </c>
      <c r="AF53" s="154" t="str">
        <f t="shared" si="26"/>
        <v/>
      </c>
      <c r="AG53" s="154" t="str">
        <f t="shared" si="26"/>
        <v/>
      </c>
      <c r="AH53" s="154" t="str">
        <f t="shared" si="26"/>
        <v/>
      </c>
      <c r="AI53" s="154" t="str">
        <f t="shared" si="26"/>
        <v/>
      </c>
      <c r="AJ53" s="154" t="str">
        <f t="shared" si="26"/>
        <v/>
      </c>
      <c r="AK53" s="154" t="str">
        <f t="shared" si="26"/>
        <v/>
      </c>
      <c r="AL53" s="154" t="str">
        <f t="shared" si="26"/>
        <v/>
      </c>
      <c r="AM53" s="154" t="str">
        <f t="shared" si="26"/>
        <v/>
      </c>
      <c r="AN53" s="154" t="str">
        <f t="shared" si="26"/>
        <v/>
      </c>
      <c r="AO53" s="154" t="str">
        <f t="shared" si="26"/>
        <v/>
      </c>
      <c r="AP53" s="154" t="str">
        <f t="shared" si="26"/>
        <v/>
      </c>
      <c r="AQ53" s="154" t="str">
        <f t="shared" si="26"/>
        <v/>
      </c>
      <c r="AR53" s="154" t="str">
        <f t="shared" si="26"/>
        <v/>
      </c>
      <c r="AS53" s="154" t="str">
        <f t="shared" si="26"/>
        <v/>
      </c>
      <c r="AT53" s="154" t="str">
        <f t="shared" si="26"/>
        <v/>
      </c>
      <c r="AU53" s="154" t="str">
        <f t="shared" si="26"/>
        <v/>
      </c>
      <c r="AV53" s="154" t="str">
        <f t="shared" si="26"/>
        <v/>
      </c>
      <c r="AW53" s="154" t="str">
        <f t="shared" si="26"/>
        <v/>
      </c>
      <c r="AX53" s="154" t="str">
        <f t="shared" si="26"/>
        <v/>
      </c>
      <c r="AY53" s="154" t="str">
        <f t="shared" si="26"/>
        <v/>
      </c>
      <c r="AZ53" s="154" t="str">
        <f t="shared" si="26"/>
        <v/>
      </c>
      <c r="BA53" s="154" t="str">
        <f t="shared" si="26"/>
        <v/>
      </c>
      <c r="BB53" s="154" t="str">
        <f t="shared" si="26"/>
        <v/>
      </c>
      <c r="BC53" s="154" t="str">
        <f t="shared" si="26"/>
        <v/>
      </c>
      <c r="BD53" s="154" t="str">
        <f t="shared" si="26"/>
        <v/>
      </c>
      <c r="BE53" s="154" t="str">
        <f t="shared" si="26"/>
        <v/>
      </c>
      <c r="BF53" s="154" t="str">
        <f t="shared" si="26"/>
        <v/>
      </c>
      <c r="BG53" s="154" t="str">
        <f t="shared" si="26"/>
        <v/>
      </c>
      <c r="BH53" s="154" t="str">
        <f t="shared" si="26"/>
        <v/>
      </c>
      <c r="BI53" s="154" t="str">
        <f t="shared" si="26"/>
        <v/>
      </c>
      <c r="BJ53" s="154" t="str">
        <f t="shared" si="26"/>
        <v/>
      </c>
      <c r="BK53" s="154" t="str">
        <f t="shared" si="26"/>
        <v/>
      </c>
      <c r="BL53" s="154" t="str">
        <f t="shared" si="26"/>
        <v/>
      </c>
      <c r="BM53" s="154" t="str">
        <f t="shared" si="26"/>
        <v/>
      </c>
      <c r="BN53" s="154" t="str">
        <f t="shared" si="26"/>
        <v/>
      </c>
      <c r="BO53" s="154" t="str">
        <f t="shared" si="26"/>
        <v/>
      </c>
      <c r="BP53" s="154" t="str">
        <f t="shared" si="26"/>
        <v/>
      </c>
      <c r="BQ53" s="154" t="str">
        <f t="shared" si="26"/>
        <v/>
      </c>
      <c r="BR53" s="154" t="str">
        <f t="shared" si="26"/>
        <v/>
      </c>
      <c r="BS53" s="154" t="str">
        <f t="shared" si="26"/>
        <v/>
      </c>
      <c r="BT53" s="154" t="str">
        <f t="shared" si="26"/>
        <v/>
      </c>
      <c r="BU53" s="154" t="str">
        <f t="shared" si="26"/>
        <v/>
      </c>
      <c r="BV53" s="154" t="str">
        <f t="shared" si="26"/>
        <v/>
      </c>
      <c r="BW53" s="154" t="str">
        <f t="shared" si="26"/>
        <v/>
      </c>
      <c r="BX53" s="154" t="str">
        <f t="shared" si="26"/>
        <v/>
      </c>
      <c r="BY53" s="154" t="str">
        <f t="shared" si="26"/>
        <v/>
      </c>
      <c r="BZ53" s="154" t="str">
        <f t="shared" si="26"/>
        <v/>
      </c>
      <c r="CA53" s="154" t="str">
        <f t="shared" si="26"/>
        <v/>
      </c>
      <c r="CB53" s="154" t="str">
        <f t="shared" si="26"/>
        <v/>
      </c>
      <c r="CC53" s="154" t="str">
        <f t="shared" si="26"/>
        <v/>
      </c>
      <c r="CD53" s="154" t="str">
        <f t="shared" si="26"/>
        <v/>
      </c>
      <c r="CE53" s="154" t="str">
        <f t="shared" si="26"/>
        <v/>
      </c>
      <c r="CF53" s="155">
        <f t="shared" si="27"/>
        <v>0</v>
      </c>
      <c r="CG53" s="156">
        <f t="shared" si="28"/>
        <v>0</v>
      </c>
    </row>
    <row r="54" spans="1:85" ht="12" customHeight="1">
      <c r="A54" s="149">
        <v>3</v>
      </c>
      <c r="B54" s="150"/>
      <c r="C54" s="150" t="s">
        <v>372</v>
      </c>
      <c r="D54" s="150" t="s">
        <v>387</v>
      </c>
      <c r="E54" s="173">
        <v>26</v>
      </c>
      <c r="F54" s="297"/>
      <c r="G54" s="175">
        <f t="shared" si="25"/>
        <v>26</v>
      </c>
      <c r="H54" s="150"/>
      <c r="I54" s="200"/>
      <c r="J54" s="150"/>
      <c r="K54" s="150"/>
      <c r="L54" s="150"/>
      <c r="M54" s="151"/>
      <c r="N54" s="149"/>
      <c r="O54" s="149"/>
      <c r="P54" s="152"/>
      <c r="Q54" s="151"/>
      <c r="R54" s="149"/>
      <c r="S54" s="149"/>
      <c r="T54" s="152"/>
      <c r="U54" s="151"/>
      <c r="V54" s="149"/>
      <c r="W54" s="149"/>
      <c r="X54" s="152"/>
      <c r="Y54" s="151"/>
      <c r="Z54" s="149"/>
      <c r="AA54" s="149"/>
      <c r="AB54" s="152"/>
      <c r="AC54" s="153"/>
      <c r="AD54" s="154" t="str">
        <f t="shared" si="26"/>
        <v/>
      </c>
      <c r="AE54" s="154" t="str">
        <f t="shared" si="26"/>
        <v/>
      </c>
      <c r="AF54" s="154" t="str">
        <f t="shared" si="26"/>
        <v/>
      </c>
      <c r="AG54" s="154" t="str">
        <f t="shared" si="26"/>
        <v/>
      </c>
      <c r="AH54" s="154" t="str">
        <f t="shared" si="26"/>
        <v/>
      </c>
      <c r="AI54" s="154" t="str">
        <f t="shared" si="26"/>
        <v/>
      </c>
      <c r="AJ54" s="154" t="str">
        <f t="shared" si="26"/>
        <v/>
      </c>
      <c r="AK54" s="154" t="str">
        <f t="shared" si="26"/>
        <v/>
      </c>
      <c r="AL54" s="154" t="str">
        <f t="shared" si="26"/>
        <v/>
      </c>
      <c r="AM54" s="154" t="str">
        <f t="shared" si="26"/>
        <v/>
      </c>
      <c r="AN54" s="154" t="str">
        <f t="shared" si="26"/>
        <v/>
      </c>
      <c r="AO54" s="154" t="str">
        <f t="shared" si="26"/>
        <v/>
      </c>
      <c r="AP54" s="154" t="str">
        <f t="shared" si="26"/>
        <v/>
      </c>
      <c r="AQ54" s="154" t="str">
        <f t="shared" si="26"/>
        <v/>
      </c>
      <c r="AR54" s="154" t="str">
        <f t="shared" si="26"/>
        <v/>
      </c>
      <c r="AS54" s="154" t="str">
        <f t="shared" si="26"/>
        <v/>
      </c>
      <c r="AT54" s="154" t="str">
        <f t="shared" si="26"/>
        <v/>
      </c>
      <c r="AU54" s="154" t="str">
        <f t="shared" si="26"/>
        <v/>
      </c>
      <c r="AV54" s="154" t="str">
        <f t="shared" si="26"/>
        <v/>
      </c>
      <c r="AW54" s="154" t="str">
        <f t="shared" si="26"/>
        <v/>
      </c>
      <c r="AX54" s="154" t="str">
        <f t="shared" si="26"/>
        <v/>
      </c>
      <c r="AY54" s="154" t="str">
        <f t="shared" si="26"/>
        <v/>
      </c>
      <c r="AZ54" s="154" t="str">
        <f t="shared" si="26"/>
        <v/>
      </c>
      <c r="BA54" s="154" t="str">
        <f t="shared" si="26"/>
        <v/>
      </c>
      <c r="BB54" s="154" t="str">
        <f t="shared" si="26"/>
        <v/>
      </c>
      <c r="BC54" s="154" t="str">
        <f t="shared" si="26"/>
        <v/>
      </c>
      <c r="BD54" s="154" t="str">
        <f t="shared" si="26"/>
        <v/>
      </c>
      <c r="BE54" s="154" t="str">
        <f t="shared" si="26"/>
        <v/>
      </c>
      <c r="BF54" s="154" t="str">
        <f t="shared" si="26"/>
        <v/>
      </c>
      <c r="BG54" s="154" t="str">
        <f t="shared" si="26"/>
        <v/>
      </c>
      <c r="BH54" s="154" t="str">
        <f t="shared" si="26"/>
        <v/>
      </c>
      <c r="BI54" s="154" t="str">
        <f t="shared" si="26"/>
        <v/>
      </c>
      <c r="BJ54" s="154" t="str">
        <f t="shared" si="26"/>
        <v/>
      </c>
      <c r="BK54" s="154" t="str">
        <f t="shared" si="26"/>
        <v/>
      </c>
      <c r="BL54" s="154" t="str">
        <f t="shared" si="26"/>
        <v/>
      </c>
      <c r="BM54" s="154" t="str">
        <f t="shared" si="26"/>
        <v/>
      </c>
      <c r="BN54" s="154" t="str">
        <f t="shared" si="26"/>
        <v/>
      </c>
      <c r="BO54" s="154" t="str">
        <f t="shared" si="26"/>
        <v/>
      </c>
      <c r="BP54" s="154" t="str">
        <f t="shared" si="26"/>
        <v/>
      </c>
      <c r="BQ54" s="154" t="str">
        <f t="shared" si="26"/>
        <v/>
      </c>
      <c r="BR54" s="154" t="str">
        <f t="shared" si="26"/>
        <v/>
      </c>
      <c r="BS54" s="154" t="str">
        <f t="shared" si="26"/>
        <v/>
      </c>
      <c r="BT54" s="154" t="str">
        <f t="shared" si="26"/>
        <v/>
      </c>
      <c r="BU54" s="154" t="str">
        <f t="shared" si="26"/>
        <v/>
      </c>
      <c r="BV54" s="154" t="str">
        <f t="shared" si="26"/>
        <v/>
      </c>
      <c r="BW54" s="154" t="str">
        <f t="shared" si="26"/>
        <v/>
      </c>
      <c r="BX54" s="154" t="str">
        <f t="shared" si="26"/>
        <v/>
      </c>
      <c r="BY54" s="154" t="str">
        <f t="shared" si="26"/>
        <v/>
      </c>
      <c r="BZ54" s="154" t="str">
        <f t="shared" si="26"/>
        <v/>
      </c>
      <c r="CA54" s="154" t="str">
        <f t="shared" si="26"/>
        <v/>
      </c>
      <c r="CB54" s="154" t="str">
        <f t="shared" si="26"/>
        <v/>
      </c>
      <c r="CC54" s="154" t="str">
        <f t="shared" si="26"/>
        <v/>
      </c>
      <c r="CD54" s="154" t="str">
        <f t="shared" si="26"/>
        <v/>
      </c>
      <c r="CE54" s="154" t="str">
        <f t="shared" si="26"/>
        <v/>
      </c>
      <c r="CF54" s="155">
        <f t="shared" si="27"/>
        <v>0</v>
      </c>
      <c r="CG54" s="156">
        <f t="shared" si="28"/>
        <v>0</v>
      </c>
    </row>
    <row r="55" spans="1:85" ht="12" customHeight="1">
      <c r="A55" s="149">
        <v>4</v>
      </c>
      <c r="B55" s="150"/>
      <c r="C55" s="150" t="s">
        <v>367</v>
      </c>
      <c r="D55" s="150" t="s">
        <v>387</v>
      </c>
      <c r="E55" s="173">
        <v>2</v>
      </c>
      <c r="F55" s="297"/>
      <c r="G55" s="175">
        <f t="shared" si="25"/>
        <v>2</v>
      </c>
      <c r="H55" s="150"/>
      <c r="I55" s="200"/>
      <c r="J55" s="150"/>
      <c r="K55" s="150"/>
      <c r="L55" s="150"/>
      <c r="M55" s="151"/>
      <c r="N55" s="149"/>
      <c r="O55" s="149"/>
      <c r="P55" s="152"/>
      <c r="Q55" s="151"/>
      <c r="R55" s="149"/>
      <c r="S55" s="149"/>
      <c r="T55" s="152"/>
      <c r="U55" s="151"/>
      <c r="V55" s="149"/>
      <c r="W55" s="149"/>
      <c r="X55" s="152"/>
      <c r="Y55" s="151"/>
      <c r="Z55" s="149"/>
      <c r="AA55" s="149"/>
      <c r="AB55" s="152"/>
      <c r="AC55" s="153"/>
      <c r="AD55" s="154" t="str">
        <f t="shared" si="26"/>
        <v/>
      </c>
      <c r="AE55" s="154" t="str">
        <f t="shared" si="26"/>
        <v/>
      </c>
      <c r="AF55" s="154" t="str">
        <f t="shared" si="26"/>
        <v/>
      </c>
      <c r="AG55" s="154" t="str">
        <f t="shared" si="26"/>
        <v/>
      </c>
      <c r="AH55" s="154" t="str">
        <f t="shared" si="26"/>
        <v/>
      </c>
      <c r="AI55" s="154" t="str">
        <f t="shared" si="26"/>
        <v/>
      </c>
      <c r="AJ55" s="154" t="str">
        <f t="shared" si="26"/>
        <v/>
      </c>
      <c r="AK55" s="154" t="str">
        <f t="shared" si="26"/>
        <v/>
      </c>
      <c r="AL55" s="154" t="str">
        <f t="shared" si="26"/>
        <v/>
      </c>
      <c r="AM55" s="154" t="str">
        <f t="shared" si="26"/>
        <v/>
      </c>
      <c r="AN55" s="154" t="str">
        <f t="shared" si="26"/>
        <v/>
      </c>
      <c r="AO55" s="154" t="str">
        <f t="shared" si="26"/>
        <v/>
      </c>
      <c r="AP55" s="154" t="str">
        <f t="shared" si="26"/>
        <v/>
      </c>
      <c r="AQ55" s="154" t="str">
        <f t="shared" si="26"/>
        <v/>
      </c>
      <c r="AR55" s="154" t="str">
        <f t="shared" si="26"/>
        <v/>
      </c>
      <c r="AS55" s="154" t="str">
        <f t="shared" si="26"/>
        <v/>
      </c>
      <c r="AT55" s="154" t="str">
        <f t="shared" si="26"/>
        <v/>
      </c>
      <c r="AU55" s="154" t="str">
        <f t="shared" si="26"/>
        <v/>
      </c>
      <c r="AV55" s="154" t="str">
        <f t="shared" si="26"/>
        <v/>
      </c>
      <c r="AW55" s="154" t="str">
        <f t="shared" si="26"/>
        <v/>
      </c>
      <c r="AX55" s="154" t="str">
        <f t="shared" si="26"/>
        <v/>
      </c>
      <c r="AY55" s="154" t="str">
        <f t="shared" si="26"/>
        <v/>
      </c>
      <c r="AZ55" s="154" t="str">
        <f t="shared" si="26"/>
        <v/>
      </c>
      <c r="BA55" s="154" t="str">
        <f t="shared" si="26"/>
        <v/>
      </c>
      <c r="BB55" s="154" t="str">
        <f t="shared" si="26"/>
        <v/>
      </c>
      <c r="BC55" s="154" t="str">
        <f t="shared" si="26"/>
        <v/>
      </c>
      <c r="BD55" s="154" t="str">
        <f t="shared" si="26"/>
        <v/>
      </c>
      <c r="BE55" s="154" t="str">
        <f t="shared" si="26"/>
        <v/>
      </c>
      <c r="BF55" s="154" t="str">
        <f t="shared" si="26"/>
        <v/>
      </c>
      <c r="BG55" s="154" t="str">
        <f t="shared" si="26"/>
        <v/>
      </c>
      <c r="BH55" s="154" t="str">
        <f t="shared" si="26"/>
        <v/>
      </c>
      <c r="BI55" s="154" t="str">
        <f t="shared" si="26"/>
        <v/>
      </c>
      <c r="BJ55" s="154" t="str">
        <f t="shared" si="26"/>
        <v/>
      </c>
      <c r="BK55" s="154" t="str">
        <f t="shared" si="26"/>
        <v/>
      </c>
      <c r="BL55" s="154" t="str">
        <f t="shared" si="26"/>
        <v/>
      </c>
      <c r="BM55" s="154" t="str">
        <f t="shared" si="26"/>
        <v/>
      </c>
      <c r="BN55" s="154" t="str">
        <f t="shared" si="26"/>
        <v/>
      </c>
      <c r="BO55" s="154" t="str">
        <f t="shared" si="26"/>
        <v/>
      </c>
      <c r="BP55" s="154" t="str">
        <f t="shared" si="26"/>
        <v/>
      </c>
      <c r="BQ55" s="154" t="str">
        <f t="shared" si="26"/>
        <v/>
      </c>
      <c r="BR55" s="154" t="str">
        <f t="shared" si="26"/>
        <v/>
      </c>
      <c r="BS55" s="154" t="str">
        <f t="shared" si="26"/>
        <v/>
      </c>
      <c r="BT55" s="154" t="str">
        <f t="shared" si="26"/>
        <v/>
      </c>
      <c r="BU55" s="154" t="str">
        <f t="shared" si="26"/>
        <v/>
      </c>
      <c r="BV55" s="154" t="str">
        <f t="shared" si="26"/>
        <v/>
      </c>
      <c r="BW55" s="154" t="str">
        <f t="shared" si="26"/>
        <v/>
      </c>
      <c r="BX55" s="154" t="str">
        <f t="shared" si="26"/>
        <v/>
      </c>
      <c r="BY55" s="154" t="str">
        <f t="shared" si="26"/>
        <v/>
      </c>
      <c r="BZ55" s="154" t="str">
        <f t="shared" si="26"/>
        <v/>
      </c>
      <c r="CA55" s="154" t="str">
        <f t="shared" si="26"/>
        <v/>
      </c>
      <c r="CB55" s="154" t="str">
        <f t="shared" si="26"/>
        <v/>
      </c>
      <c r="CC55" s="154" t="str">
        <f t="shared" si="26"/>
        <v/>
      </c>
      <c r="CD55" s="154" t="str">
        <f t="shared" si="26"/>
        <v/>
      </c>
      <c r="CE55" s="154" t="str">
        <f t="shared" si="26"/>
        <v/>
      </c>
      <c r="CF55" s="155">
        <f t="shared" si="27"/>
        <v>0</v>
      </c>
      <c r="CG55" s="156">
        <f t="shared" si="28"/>
        <v>0</v>
      </c>
    </row>
    <row r="56" spans="1:85" ht="12" customHeight="1">
      <c r="A56" s="149">
        <v>5</v>
      </c>
      <c r="B56" s="150"/>
      <c r="C56" s="150" t="s">
        <v>365</v>
      </c>
      <c r="D56" s="150" t="s">
        <v>387</v>
      </c>
      <c r="E56" s="173">
        <v>4</v>
      </c>
      <c r="F56" s="297"/>
      <c r="G56" s="175">
        <f t="shared" si="25"/>
        <v>4</v>
      </c>
      <c r="H56" s="150"/>
      <c r="I56" s="200"/>
      <c r="J56" s="150"/>
      <c r="K56" s="150"/>
      <c r="L56" s="150"/>
      <c r="M56" s="151"/>
      <c r="N56" s="149"/>
      <c r="O56" s="149"/>
      <c r="P56" s="152"/>
      <c r="Q56" s="151"/>
      <c r="R56" s="149"/>
      <c r="S56" s="149"/>
      <c r="T56" s="152"/>
      <c r="U56" s="151"/>
      <c r="V56" s="149"/>
      <c r="W56" s="149"/>
      <c r="X56" s="152"/>
      <c r="Y56" s="151"/>
      <c r="Z56" s="149"/>
      <c r="AA56" s="149"/>
      <c r="AB56" s="152"/>
      <c r="AC56" s="153"/>
      <c r="AD56" s="154" t="str">
        <f t="shared" si="26"/>
        <v/>
      </c>
      <c r="AE56" s="154" t="str">
        <f t="shared" si="26"/>
        <v/>
      </c>
      <c r="AF56" s="154" t="str">
        <f t="shared" si="26"/>
        <v/>
      </c>
      <c r="AG56" s="154" t="str">
        <f t="shared" si="26"/>
        <v/>
      </c>
      <c r="AH56" s="154" t="str">
        <f t="shared" si="26"/>
        <v/>
      </c>
      <c r="AI56" s="154" t="str">
        <f t="shared" si="26"/>
        <v/>
      </c>
      <c r="AJ56" s="154" t="str">
        <f t="shared" si="26"/>
        <v/>
      </c>
      <c r="AK56" s="154" t="str">
        <f t="shared" si="26"/>
        <v/>
      </c>
      <c r="AL56" s="154" t="str">
        <f t="shared" si="26"/>
        <v/>
      </c>
      <c r="AM56" s="154" t="str">
        <f t="shared" si="26"/>
        <v/>
      </c>
      <c r="AN56" s="154" t="str">
        <f t="shared" si="26"/>
        <v/>
      </c>
      <c r="AO56" s="154" t="str">
        <f t="shared" si="26"/>
        <v/>
      </c>
      <c r="AP56" s="154" t="str">
        <f t="shared" si="26"/>
        <v/>
      </c>
      <c r="AQ56" s="154" t="str">
        <f t="shared" si="26"/>
        <v/>
      </c>
      <c r="AR56" s="154" t="str">
        <f t="shared" si="26"/>
        <v/>
      </c>
      <c r="AS56" s="154" t="str">
        <f t="shared" si="26"/>
        <v/>
      </c>
      <c r="AT56" s="154" t="str">
        <f t="shared" si="26"/>
        <v/>
      </c>
      <c r="AU56" s="154" t="str">
        <f t="shared" si="26"/>
        <v/>
      </c>
      <c r="AV56" s="154" t="str">
        <f t="shared" si="26"/>
        <v/>
      </c>
      <c r="AW56" s="154" t="str">
        <f t="shared" si="26"/>
        <v/>
      </c>
      <c r="AX56" s="154" t="str">
        <f t="shared" si="26"/>
        <v/>
      </c>
      <c r="AY56" s="154" t="str">
        <f t="shared" si="26"/>
        <v/>
      </c>
      <c r="AZ56" s="154" t="str">
        <f t="shared" si="26"/>
        <v/>
      </c>
      <c r="BA56" s="154" t="str">
        <f t="shared" si="26"/>
        <v/>
      </c>
      <c r="BB56" s="154" t="str">
        <f t="shared" si="26"/>
        <v/>
      </c>
      <c r="BC56" s="154" t="str">
        <f t="shared" si="26"/>
        <v/>
      </c>
      <c r="BD56" s="154" t="str">
        <f t="shared" si="26"/>
        <v/>
      </c>
      <c r="BE56" s="154" t="str">
        <f t="shared" si="26"/>
        <v/>
      </c>
      <c r="BF56" s="154" t="str">
        <f t="shared" si="26"/>
        <v/>
      </c>
      <c r="BG56" s="154" t="str">
        <f t="shared" si="26"/>
        <v/>
      </c>
      <c r="BH56" s="154" t="str">
        <f t="shared" si="26"/>
        <v/>
      </c>
      <c r="BI56" s="154" t="str">
        <f t="shared" si="26"/>
        <v/>
      </c>
      <c r="BJ56" s="154" t="str">
        <f t="shared" si="26"/>
        <v/>
      </c>
      <c r="BK56" s="154" t="str">
        <f t="shared" si="26"/>
        <v/>
      </c>
      <c r="BL56" s="154" t="str">
        <f t="shared" si="26"/>
        <v/>
      </c>
      <c r="BM56" s="154" t="str">
        <f t="shared" si="26"/>
        <v/>
      </c>
      <c r="BN56" s="154" t="str">
        <f t="shared" si="26"/>
        <v/>
      </c>
      <c r="BO56" s="154" t="str">
        <f t="shared" si="26"/>
        <v/>
      </c>
      <c r="BP56" s="154" t="str">
        <f t="shared" si="26"/>
        <v/>
      </c>
      <c r="BQ56" s="154" t="str">
        <f t="shared" ref="BQ56:CE56" si="29">IF(BQ$9=$M56,$P56,IF(BQ$9=$Q56,$T56,IF(BQ$9=$U56,$X56,IF(BQ$9=$Y56,$AB56,IF(BQ$9=$L56,"ПС",IF(BQ$9=$I56,"КС",IF(AND(BQ$9&lt;$I56,BQ$9&gt;$L56),"--","")))))))</f>
        <v/>
      </c>
      <c r="BR56" s="154" t="str">
        <f t="shared" si="29"/>
        <v/>
      </c>
      <c r="BS56" s="154" t="str">
        <f t="shared" si="29"/>
        <v/>
      </c>
      <c r="BT56" s="154" t="str">
        <f t="shared" si="29"/>
        <v/>
      </c>
      <c r="BU56" s="154" t="str">
        <f t="shared" si="29"/>
        <v/>
      </c>
      <c r="BV56" s="154" t="str">
        <f t="shared" si="29"/>
        <v/>
      </c>
      <c r="BW56" s="154" t="str">
        <f t="shared" si="29"/>
        <v/>
      </c>
      <c r="BX56" s="154" t="str">
        <f t="shared" si="29"/>
        <v/>
      </c>
      <c r="BY56" s="154" t="str">
        <f t="shared" si="29"/>
        <v/>
      </c>
      <c r="BZ56" s="154" t="str">
        <f t="shared" si="29"/>
        <v/>
      </c>
      <c r="CA56" s="154" t="str">
        <f t="shared" si="29"/>
        <v/>
      </c>
      <c r="CB56" s="154" t="str">
        <f t="shared" si="29"/>
        <v/>
      </c>
      <c r="CC56" s="154" t="str">
        <f t="shared" si="29"/>
        <v/>
      </c>
      <c r="CD56" s="154" t="str">
        <f t="shared" si="29"/>
        <v/>
      </c>
      <c r="CE56" s="154" t="str">
        <f t="shared" si="29"/>
        <v/>
      </c>
      <c r="CF56" s="155">
        <f t="shared" si="27"/>
        <v>0</v>
      </c>
      <c r="CG56" s="156">
        <f t="shared" si="28"/>
        <v>0</v>
      </c>
    </row>
    <row r="57" spans="1:85" ht="12" customHeight="1">
      <c r="A57" s="149">
        <v>6</v>
      </c>
      <c r="B57" s="150"/>
      <c r="C57" s="150" t="s">
        <v>373</v>
      </c>
      <c r="D57" s="150" t="s">
        <v>387</v>
      </c>
      <c r="E57" s="173">
        <v>12</v>
      </c>
      <c r="F57" s="297"/>
      <c r="G57" s="175">
        <f t="shared" si="25"/>
        <v>12</v>
      </c>
      <c r="H57" s="150"/>
      <c r="I57" s="200"/>
      <c r="J57" s="150"/>
      <c r="K57" s="150"/>
      <c r="L57" s="150"/>
      <c r="M57" s="151"/>
      <c r="N57" s="149"/>
      <c r="O57" s="149"/>
      <c r="P57" s="152"/>
      <c r="Q57" s="151"/>
      <c r="R57" s="149"/>
      <c r="S57" s="149"/>
      <c r="T57" s="152"/>
      <c r="U57" s="151"/>
      <c r="V57" s="149"/>
      <c r="W57" s="149"/>
      <c r="X57" s="152"/>
      <c r="Y57" s="151"/>
      <c r="Z57" s="149"/>
      <c r="AA57" s="149"/>
      <c r="AB57" s="152"/>
      <c r="AC57" s="153"/>
      <c r="AD57" s="154" t="str">
        <f t="shared" ref="AD57:CE61" si="30">IF(AD$9=$M57,$P57,IF(AD$9=$Q57,$T57,IF(AD$9=$U57,$X57,IF(AD$9=$Y57,$AB57,IF(AD$9=$L57,"ПС",IF(AD$9=$I57,"КС",IF(AND(AD$9&lt;$I57,AD$9&gt;$L57),"--","")))))))</f>
        <v/>
      </c>
      <c r="AE57" s="154" t="str">
        <f t="shared" si="30"/>
        <v/>
      </c>
      <c r="AF57" s="154" t="str">
        <f t="shared" si="30"/>
        <v/>
      </c>
      <c r="AG57" s="154" t="str">
        <f t="shared" si="30"/>
        <v/>
      </c>
      <c r="AH57" s="154" t="str">
        <f t="shared" si="30"/>
        <v/>
      </c>
      <c r="AI57" s="154" t="str">
        <f t="shared" si="30"/>
        <v/>
      </c>
      <c r="AJ57" s="154" t="str">
        <f t="shared" si="30"/>
        <v/>
      </c>
      <c r="AK57" s="154" t="str">
        <f t="shared" si="30"/>
        <v/>
      </c>
      <c r="AL57" s="154" t="str">
        <f t="shared" si="30"/>
        <v/>
      </c>
      <c r="AM57" s="154" t="str">
        <f t="shared" si="30"/>
        <v/>
      </c>
      <c r="AN57" s="154" t="str">
        <f t="shared" si="30"/>
        <v/>
      </c>
      <c r="AO57" s="154" t="str">
        <f t="shared" si="30"/>
        <v/>
      </c>
      <c r="AP57" s="154" t="str">
        <f t="shared" si="30"/>
        <v/>
      </c>
      <c r="AQ57" s="154" t="str">
        <f t="shared" si="30"/>
        <v/>
      </c>
      <c r="AR57" s="154" t="str">
        <f t="shared" si="30"/>
        <v/>
      </c>
      <c r="AS57" s="154" t="str">
        <f t="shared" si="30"/>
        <v/>
      </c>
      <c r="AT57" s="154" t="str">
        <f t="shared" si="30"/>
        <v/>
      </c>
      <c r="AU57" s="154" t="str">
        <f t="shared" si="30"/>
        <v/>
      </c>
      <c r="AV57" s="154" t="str">
        <f t="shared" si="30"/>
        <v/>
      </c>
      <c r="AW57" s="154" t="str">
        <f t="shared" si="30"/>
        <v/>
      </c>
      <c r="AX57" s="154" t="str">
        <f t="shared" si="30"/>
        <v/>
      </c>
      <c r="AY57" s="154" t="str">
        <f t="shared" si="30"/>
        <v/>
      </c>
      <c r="AZ57" s="154" t="str">
        <f t="shared" si="30"/>
        <v/>
      </c>
      <c r="BA57" s="154" t="str">
        <f t="shared" si="30"/>
        <v/>
      </c>
      <c r="BB57" s="154" t="str">
        <f t="shared" si="30"/>
        <v/>
      </c>
      <c r="BC57" s="154" t="str">
        <f t="shared" si="30"/>
        <v/>
      </c>
      <c r="BD57" s="154" t="str">
        <f t="shared" si="30"/>
        <v/>
      </c>
      <c r="BE57" s="154" t="str">
        <f t="shared" si="30"/>
        <v/>
      </c>
      <c r="BF57" s="154" t="str">
        <f t="shared" si="30"/>
        <v/>
      </c>
      <c r="BG57" s="154" t="str">
        <f t="shared" si="30"/>
        <v/>
      </c>
      <c r="BH57" s="154" t="str">
        <f t="shared" si="30"/>
        <v/>
      </c>
      <c r="BI57" s="154" t="str">
        <f t="shared" si="30"/>
        <v/>
      </c>
      <c r="BJ57" s="154" t="str">
        <f t="shared" si="30"/>
        <v/>
      </c>
      <c r="BK57" s="154" t="str">
        <f t="shared" si="30"/>
        <v/>
      </c>
      <c r="BL57" s="154" t="str">
        <f t="shared" si="30"/>
        <v/>
      </c>
      <c r="BM57" s="154" t="str">
        <f t="shared" si="30"/>
        <v/>
      </c>
      <c r="BN57" s="154" t="str">
        <f t="shared" si="30"/>
        <v/>
      </c>
      <c r="BO57" s="154" t="str">
        <f t="shared" si="30"/>
        <v/>
      </c>
      <c r="BP57" s="154" t="str">
        <f t="shared" si="30"/>
        <v/>
      </c>
      <c r="BQ57" s="154" t="str">
        <f t="shared" si="30"/>
        <v/>
      </c>
      <c r="BR57" s="154" t="str">
        <f t="shared" si="30"/>
        <v/>
      </c>
      <c r="BS57" s="154" t="str">
        <f t="shared" si="30"/>
        <v/>
      </c>
      <c r="BT57" s="154" t="str">
        <f t="shared" si="30"/>
        <v/>
      </c>
      <c r="BU57" s="154" t="str">
        <f t="shared" si="30"/>
        <v/>
      </c>
      <c r="BV57" s="154" t="str">
        <f t="shared" si="30"/>
        <v/>
      </c>
      <c r="BW57" s="154" t="str">
        <f t="shared" si="30"/>
        <v/>
      </c>
      <c r="BX57" s="154" t="str">
        <f t="shared" si="30"/>
        <v/>
      </c>
      <c r="BY57" s="154" t="str">
        <f t="shared" si="30"/>
        <v/>
      </c>
      <c r="BZ57" s="154" t="str">
        <f t="shared" si="30"/>
        <v/>
      </c>
      <c r="CA57" s="154" t="str">
        <f t="shared" si="30"/>
        <v/>
      </c>
      <c r="CB57" s="154" t="str">
        <f t="shared" si="30"/>
        <v/>
      </c>
      <c r="CC57" s="154" t="str">
        <f t="shared" si="30"/>
        <v/>
      </c>
      <c r="CD57" s="154" t="str">
        <f t="shared" si="30"/>
        <v/>
      </c>
      <c r="CE57" s="154" t="str">
        <f t="shared" si="30"/>
        <v/>
      </c>
      <c r="CF57" s="155">
        <f t="shared" si="27"/>
        <v>0</v>
      </c>
      <c r="CG57" s="156">
        <f t="shared" si="28"/>
        <v>0</v>
      </c>
    </row>
    <row r="58" spans="1:85" ht="12" customHeight="1">
      <c r="A58" s="149">
        <v>7</v>
      </c>
      <c r="B58" s="150"/>
      <c r="C58" s="150" t="s">
        <v>363</v>
      </c>
      <c r="D58" s="150" t="s">
        <v>387</v>
      </c>
      <c r="E58" s="173">
        <v>6</v>
      </c>
      <c r="F58" s="297"/>
      <c r="G58" s="175">
        <f t="shared" si="25"/>
        <v>6</v>
      </c>
      <c r="H58" s="150"/>
      <c r="I58" s="200"/>
      <c r="J58" s="150"/>
      <c r="K58" s="150"/>
      <c r="L58" s="150"/>
      <c r="M58" s="151"/>
      <c r="N58" s="149"/>
      <c r="O58" s="149"/>
      <c r="P58" s="152"/>
      <c r="Q58" s="151"/>
      <c r="R58" s="149"/>
      <c r="S58" s="149"/>
      <c r="T58" s="152"/>
      <c r="U58" s="151"/>
      <c r="V58" s="149"/>
      <c r="W58" s="149"/>
      <c r="X58" s="152"/>
      <c r="Y58" s="151"/>
      <c r="Z58" s="149"/>
      <c r="AA58" s="149"/>
      <c r="AB58" s="152"/>
      <c r="AC58" s="153"/>
      <c r="AD58" s="154" t="str">
        <f t="shared" si="30"/>
        <v/>
      </c>
      <c r="AE58" s="154" t="str">
        <f t="shared" si="30"/>
        <v/>
      </c>
      <c r="AF58" s="154" t="str">
        <f t="shared" si="30"/>
        <v/>
      </c>
      <c r="AG58" s="154" t="str">
        <f t="shared" si="30"/>
        <v/>
      </c>
      <c r="AH58" s="154" t="str">
        <f t="shared" si="30"/>
        <v/>
      </c>
      <c r="AI58" s="154" t="str">
        <f t="shared" si="30"/>
        <v/>
      </c>
      <c r="AJ58" s="154" t="str">
        <f t="shared" si="30"/>
        <v/>
      </c>
      <c r="AK58" s="154" t="str">
        <f t="shared" si="30"/>
        <v/>
      </c>
      <c r="AL58" s="154" t="str">
        <f t="shared" si="30"/>
        <v/>
      </c>
      <c r="AM58" s="154" t="str">
        <f t="shared" si="30"/>
        <v/>
      </c>
      <c r="AN58" s="154" t="str">
        <f t="shared" si="30"/>
        <v/>
      </c>
      <c r="AO58" s="154" t="str">
        <f t="shared" si="30"/>
        <v/>
      </c>
      <c r="AP58" s="154" t="str">
        <f t="shared" si="30"/>
        <v/>
      </c>
      <c r="AQ58" s="154" t="str">
        <f t="shared" si="30"/>
        <v/>
      </c>
      <c r="AR58" s="154" t="str">
        <f t="shared" si="30"/>
        <v/>
      </c>
      <c r="AS58" s="154" t="str">
        <f t="shared" si="30"/>
        <v/>
      </c>
      <c r="AT58" s="154" t="str">
        <f t="shared" si="30"/>
        <v/>
      </c>
      <c r="AU58" s="154" t="str">
        <f t="shared" si="30"/>
        <v/>
      </c>
      <c r="AV58" s="154" t="str">
        <f t="shared" si="30"/>
        <v/>
      </c>
      <c r="AW58" s="154" t="str">
        <f t="shared" si="30"/>
        <v/>
      </c>
      <c r="AX58" s="154" t="str">
        <f t="shared" si="30"/>
        <v/>
      </c>
      <c r="AY58" s="154" t="str">
        <f t="shared" si="30"/>
        <v/>
      </c>
      <c r="AZ58" s="154" t="str">
        <f t="shared" si="30"/>
        <v/>
      </c>
      <c r="BA58" s="154" t="str">
        <f t="shared" si="30"/>
        <v/>
      </c>
      <c r="BB58" s="154" t="str">
        <f t="shared" si="30"/>
        <v/>
      </c>
      <c r="BC58" s="154" t="str">
        <f t="shared" si="30"/>
        <v/>
      </c>
      <c r="BD58" s="154" t="str">
        <f t="shared" si="30"/>
        <v/>
      </c>
      <c r="BE58" s="154" t="str">
        <f t="shared" si="30"/>
        <v/>
      </c>
      <c r="BF58" s="154" t="str">
        <f t="shared" si="30"/>
        <v/>
      </c>
      <c r="BG58" s="154" t="str">
        <f t="shared" si="30"/>
        <v/>
      </c>
      <c r="BH58" s="154" t="str">
        <f t="shared" si="30"/>
        <v/>
      </c>
      <c r="BI58" s="154" t="str">
        <f t="shared" si="30"/>
        <v/>
      </c>
      <c r="BJ58" s="154" t="str">
        <f t="shared" si="30"/>
        <v/>
      </c>
      <c r="BK58" s="154" t="str">
        <f t="shared" si="30"/>
        <v/>
      </c>
      <c r="BL58" s="154" t="str">
        <f t="shared" si="30"/>
        <v/>
      </c>
      <c r="BM58" s="154" t="str">
        <f t="shared" si="30"/>
        <v/>
      </c>
      <c r="BN58" s="154" t="str">
        <f t="shared" si="30"/>
        <v/>
      </c>
      <c r="BO58" s="154" t="str">
        <f t="shared" si="30"/>
        <v/>
      </c>
      <c r="BP58" s="154" t="str">
        <f t="shared" si="30"/>
        <v/>
      </c>
      <c r="BQ58" s="154" t="str">
        <f t="shared" si="30"/>
        <v/>
      </c>
      <c r="BR58" s="154" t="str">
        <f t="shared" si="30"/>
        <v/>
      </c>
      <c r="BS58" s="154" t="str">
        <f t="shared" si="30"/>
        <v/>
      </c>
      <c r="BT58" s="154" t="str">
        <f t="shared" si="30"/>
        <v/>
      </c>
      <c r="BU58" s="154" t="str">
        <f t="shared" si="30"/>
        <v/>
      </c>
      <c r="BV58" s="154" t="str">
        <f t="shared" si="30"/>
        <v/>
      </c>
      <c r="BW58" s="154" t="str">
        <f t="shared" si="30"/>
        <v/>
      </c>
      <c r="BX58" s="154" t="str">
        <f t="shared" si="30"/>
        <v/>
      </c>
      <c r="BY58" s="154" t="str">
        <f t="shared" si="30"/>
        <v/>
      </c>
      <c r="BZ58" s="154" t="str">
        <f t="shared" si="30"/>
        <v/>
      </c>
      <c r="CA58" s="154" t="str">
        <f t="shared" si="30"/>
        <v/>
      </c>
      <c r="CB58" s="154" t="str">
        <f t="shared" si="30"/>
        <v/>
      </c>
      <c r="CC58" s="154" t="str">
        <f t="shared" si="30"/>
        <v/>
      </c>
      <c r="CD58" s="154" t="str">
        <f t="shared" si="30"/>
        <v/>
      </c>
      <c r="CE58" s="154" t="str">
        <f t="shared" si="30"/>
        <v/>
      </c>
      <c r="CF58" s="155">
        <f t="shared" si="27"/>
        <v>0</v>
      </c>
      <c r="CG58" s="156">
        <f t="shared" si="28"/>
        <v>0</v>
      </c>
    </row>
    <row r="59" spans="1:85" ht="12" customHeight="1">
      <c r="A59" s="149">
        <v>8</v>
      </c>
      <c r="B59" s="150"/>
      <c r="C59" s="150" t="s">
        <v>368</v>
      </c>
      <c r="D59" s="150" t="s">
        <v>387</v>
      </c>
      <c r="E59" s="173">
        <v>8</v>
      </c>
      <c r="F59" s="297"/>
      <c r="G59" s="175">
        <f t="shared" si="25"/>
        <v>8</v>
      </c>
      <c r="H59" s="150"/>
      <c r="I59" s="200"/>
      <c r="J59" s="150"/>
      <c r="K59" s="150"/>
      <c r="L59" s="150"/>
      <c r="M59" s="151"/>
      <c r="N59" s="149"/>
      <c r="O59" s="149"/>
      <c r="P59" s="152"/>
      <c r="Q59" s="151"/>
      <c r="R59" s="149"/>
      <c r="S59" s="149"/>
      <c r="T59" s="152"/>
      <c r="U59" s="151"/>
      <c r="V59" s="149"/>
      <c r="W59" s="149"/>
      <c r="X59" s="152"/>
      <c r="Y59" s="151"/>
      <c r="Z59" s="149"/>
      <c r="AA59" s="149"/>
      <c r="AB59" s="152"/>
      <c r="AC59" s="153"/>
      <c r="AD59" s="154" t="str">
        <f t="shared" si="30"/>
        <v/>
      </c>
      <c r="AE59" s="154" t="str">
        <f t="shared" si="30"/>
        <v/>
      </c>
      <c r="AF59" s="154" t="str">
        <f t="shared" si="30"/>
        <v/>
      </c>
      <c r="AG59" s="154" t="str">
        <f t="shared" si="30"/>
        <v/>
      </c>
      <c r="AH59" s="154" t="str">
        <f t="shared" si="30"/>
        <v/>
      </c>
      <c r="AI59" s="154" t="str">
        <f t="shared" si="30"/>
        <v/>
      </c>
      <c r="AJ59" s="154" t="str">
        <f t="shared" si="30"/>
        <v/>
      </c>
      <c r="AK59" s="154" t="str">
        <f t="shared" si="30"/>
        <v/>
      </c>
      <c r="AL59" s="154" t="str">
        <f t="shared" si="30"/>
        <v/>
      </c>
      <c r="AM59" s="154" t="str">
        <f t="shared" si="30"/>
        <v/>
      </c>
      <c r="AN59" s="154" t="str">
        <f t="shared" si="30"/>
        <v/>
      </c>
      <c r="AO59" s="154" t="str">
        <f t="shared" si="30"/>
        <v/>
      </c>
      <c r="AP59" s="154" t="str">
        <f t="shared" si="30"/>
        <v/>
      </c>
      <c r="AQ59" s="154" t="str">
        <f t="shared" si="30"/>
        <v/>
      </c>
      <c r="AR59" s="154" t="str">
        <f t="shared" si="30"/>
        <v/>
      </c>
      <c r="AS59" s="154" t="str">
        <f t="shared" si="30"/>
        <v/>
      </c>
      <c r="AT59" s="154" t="str">
        <f t="shared" si="30"/>
        <v/>
      </c>
      <c r="AU59" s="154" t="str">
        <f t="shared" si="30"/>
        <v/>
      </c>
      <c r="AV59" s="154" t="str">
        <f t="shared" si="30"/>
        <v/>
      </c>
      <c r="AW59" s="154" t="str">
        <f t="shared" si="30"/>
        <v/>
      </c>
      <c r="AX59" s="154" t="str">
        <f t="shared" si="30"/>
        <v/>
      </c>
      <c r="AY59" s="154" t="str">
        <f t="shared" si="30"/>
        <v/>
      </c>
      <c r="AZ59" s="154" t="str">
        <f t="shared" si="30"/>
        <v/>
      </c>
      <c r="BA59" s="154" t="str">
        <f t="shared" si="30"/>
        <v/>
      </c>
      <c r="BB59" s="154" t="str">
        <f t="shared" si="30"/>
        <v/>
      </c>
      <c r="BC59" s="154" t="str">
        <f t="shared" si="30"/>
        <v/>
      </c>
      <c r="BD59" s="154" t="str">
        <f t="shared" si="30"/>
        <v/>
      </c>
      <c r="BE59" s="154" t="str">
        <f t="shared" si="30"/>
        <v/>
      </c>
      <c r="BF59" s="154" t="str">
        <f t="shared" si="30"/>
        <v/>
      </c>
      <c r="BG59" s="154" t="str">
        <f t="shared" si="30"/>
        <v/>
      </c>
      <c r="BH59" s="154" t="str">
        <f t="shared" si="30"/>
        <v/>
      </c>
      <c r="BI59" s="154" t="str">
        <f t="shared" si="30"/>
        <v/>
      </c>
      <c r="BJ59" s="154" t="str">
        <f t="shared" si="30"/>
        <v/>
      </c>
      <c r="BK59" s="154" t="str">
        <f t="shared" si="30"/>
        <v/>
      </c>
      <c r="BL59" s="154" t="str">
        <f t="shared" si="30"/>
        <v/>
      </c>
      <c r="BM59" s="154" t="str">
        <f t="shared" si="30"/>
        <v/>
      </c>
      <c r="BN59" s="154" t="str">
        <f t="shared" si="30"/>
        <v/>
      </c>
      <c r="BO59" s="154" t="str">
        <f t="shared" si="30"/>
        <v/>
      </c>
      <c r="BP59" s="154" t="str">
        <f t="shared" si="30"/>
        <v/>
      </c>
      <c r="BQ59" s="154" t="str">
        <f t="shared" si="30"/>
        <v/>
      </c>
      <c r="BR59" s="154" t="str">
        <f t="shared" si="30"/>
        <v/>
      </c>
      <c r="BS59" s="154" t="str">
        <f t="shared" si="30"/>
        <v/>
      </c>
      <c r="BT59" s="154" t="str">
        <f t="shared" si="30"/>
        <v/>
      </c>
      <c r="BU59" s="154" t="str">
        <f t="shared" si="30"/>
        <v/>
      </c>
      <c r="BV59" s="154" t="str">
        <f t="shared" si="30"/>
        <v/>
      </c>
      <c r="BW59" s="154" t="str">
        <f t="shared" si="30"/>
        <v/>
      </c>
      <c r="BX59" s="154" t="str">
        <f t="shared" si="30"/>
        <v/>
      </c>
      <c r="BY59" s="154" t="str">
        <f t="shared" si="30"/>
        <v/>
      </c>
      <c r="BZ59" s="154" t="str">
        <f t="shared" si="30"/>
        <v/>
      </c>
      <c r="CA59" s="154" t="str">
        <f t="shared" si="30"/>
        <v/>
      </c>
      <c r="CB59" s="154" t="str">
        <f t="shared" si="30"/>
        <v/>
      </c>
      <c r="CC59" s="154" t="str">
        <f t="shared" si="30"/>
        <v/>
      </c>
      <c r="CD59" s="154" t="str">
        <f t="shared" si="30"/>
        <v/>
      </c>
      <c r="CE59" s="154" t="str">
        <f t="shared" si="30"/>
        <v/>
      </c>
      <c r="CF59" s="155">
        <f t="shared" si="27"/>
        <v>0</v>
      </c>
      <c r="CG59" s="156">
        <f t="shared" si="28"/>
        <v>0</v>
      </c>
    </row>
    <row r="60" spans="1:85" ht="12" customHeight="1">
      <c r="A60" s="149">
        <v>9</v>
      </c>
      <c r="B60" s="150"/>
      <c r="C60" s="150" t="s">
        <v>360</v>
      </c>
      <c r="D60" s="150" t="s">
        <v>387</v>
      </c>
      <c r="E60" s="173">
        <v>6</v>
      </c>
      <c r="F60" s="297"/>
      <c r="G60" s="175">
        <f t="shared" si="25"/>
        <v>6</v>
      </c>
      <c r="H60" s="150"/>
      <c r="I60" s="200"/>
      <c r="J60" s="150"/>
      <c r="K60" s="150"/>
      <c r="L60" s="150"/>
      <c r="M60" s="151"/>
      <c r="N60" s="149"/>
      <c r="O60" s="149"/>
      <c r="P60" s="152"/>
      <c r="Q60" s="151"/>
      <c r="R60" s="149"/>
      <c r="S60" s="149"/>
      <c r="T60" s="152"/>
      <c r="U60" s="151"/>
      <c r="V60" s="149"/>
      <c r="W60" s="149"/>
      <c r="X60" s="152"/>
      <c r="Y60" s="151"/>
      <c r="Z60" s="149"/>
      <c r="AA60" s="149"/>
      <c r="AB60" s="152"/>
      <c r="AC60" s="153"/>
      <c r="AD60" s="154" t="str">
        <f t="shared" si="30"/>
        <v/>
      </c>
      <c r="AE60" s="154" t="str">
        <f t="shared" si="30"/>
        <v/>
      </c>
      <c r="AF60" s="154" t="str">
        <f t="shared" si="30"/>
        <v/>
      </c>
      <c r="AG60" s="154" t="str">
        <f t="shared" si="30"/>
        <v/>
      </c>
      <c r="AH60" s="154" t="str">
        <f t="shared" si="30"/>
        <v/>
      </c>
      <c r="AI60" s="154" t="str">
        <f t="shared" si="30"/>
        <v/>
      </c>
      <c r="AJ60" s="154" t="str">
        <f t="shared" si="30"/>
        <v/>
      </c>
      <c r="AK60" s="154" t="str">
        <f t="shared" si="30"/>
        <v/>
      </c>
      <c r="AL60" s="154" t="str">
        <f t="shared" si="30"/>
        <v/>
      </c>
      <c r="AM60" s="154" t="str">
        <f t="shared" si="30"/>
        <v/>
      </c>
      <c r="AN60" s="154" t="str">
        <f t="shared" si="30"/>
        <v/>
      </c>
      <c r="AO60" s="154" t="str">
        <f t="shared" si="30"/>
        <v/>
      </c>
      <c r="AP60" s="154" t="str">
        <f t="shared" si="30"/>
        <v/>
      </c>
      <c r="AQ60" s="154" t="str">
        <f t="shared" si="30"/>
        <v/>
      </c>
      <c r="AR60" s="154" t="str">
        <f t="shared" si="30"/>
        <v/>
      </c>
      <c r="AS60" s="154" t="str">
        <f t="shared" si="30"/>
        <v/>
      </c>
      <c r="AT60" s="154" t="str">
        <f t="shared" si="30"/>
        <v/>
      </c>
      <c r="AU60" s="154" t="str">
        <f t="shared" si="30"/>
        <v/>
      </c>
      <c r="AV60" s="154" t="str">
        <f t="shared" si="30"/>
        <v/>
      </c>
      <c r="AW60" s="154" t="str">
        <f t="shared" si="30"/>
        <v/>
      </c>
      <c r="AX60" s="154" t="str">
        <f t="shared" si="30"/>
        <v/>
      </c>
      <c r="AY60" s="154" t="str">
        <f t="shared" si="30"/>
        <v/>
      </c>
      <c r="AZ60" s="154" t="str">
        <f t="shared" si="30"/>
        <v/>
      </c>
      <c r="BA60" s="154" t="str">
        <f t="shared" si="30"/>
        <v/>
      </c>
      <c r="BB60" s="154" t="str">
        <f t="shared" si="30"/>
        <v/>
      </c>
      <c r="BC60" s="154" t="str">
        <f t="shared" si="30"/>
        <v/>
      </c>
      <c r="BD60" s="154" t="str">
        <f t="shared" si="30"/>
        <v/>
      </c>
      <c r="BE60" s="154" t="str">
        <f t="shared" si="30"/>
        <v/>
      </c>
      <c r="BF60" s="154" t="str">
        <f t="shared" si="30"/>
        <v/>
      </c>
      <c r="BG60" s="154" t="str">
        <f t="shared" si="30"/>
        <v/>
      </c>
      <c r="BH60" s="154" t="str">
        <f t="shared" si="30"/>
        <v/>
      </c>
      <c r="BI60" s="154" t="str">
        <f t="shared" si="30"/>
        <v/>
      </c>
      <c r="BJ60" s="154" t="str">
        <f t="shared" si="30"/>
        <v/>
      </c>
      <c r="BK60" s="154" t="str">
        <f t="shared" si="30"/>
        <v/>
      </c>
      <c r="BL60" s="154" t="str">
        <f t="shared" si="30"/>
        <v/>
      </c>
      <c r="BM60" s="154" t="str">
        <f t="shared" si="30"/>
        <v/>
      </c>
      <c r="BN60" s="154" t="str">
        <f t="shared" si="30"/>
        <v/>
      </c>
      <c r="BO60" s="154" t="str">
        <f t="shared" si="30"/>
        <v/>
      </c>
      <c r="BP60" s="154" t="str">
        <f t="shared" si="30"/>
        <v/>
      </c>
      <c r="BQ60" s="154" t="str">
        <f t="shared" si="30"/>
        <v/>
      </c>
      <c r="BR60" s="154" t="str">
        <f t="shared" si="30"/>
        <v/>
      </c>
      <c r="BS60" s="154" t="str">
        <f t="shared" si="30"/>
        <v/>
      </c>
      <c r="BT60" s="154" t="str">
        <f t="shared" si="30"/>
        <v/>
      </c>
      <c r="BU60" s="154" t="str">
        <f t="shared" si="30"/>
        <v/>
      </c>
      <c r="BV60" s="154" t="str">
        <f t="shared" si="30"/>
        <v/>
      </c>
      <c r="BW60" s="154" t="str">
        <f t="shared" si="30"/>
        <v/>
      </c>
      <c r="BX60" s="154" t="str">
        <f t="shared" si="30"/>
        <v/>
      </c>
      <c r="BY60" s="154" t="str">
        <f t="shared" si="30"/>
        <v/>
      </c>
      <c r="BZ60" s="154" t="str">
        <f t="shared" si="30"/>
        <v/>
      </c>
      <c r="CA60" s="154" t="str">
        <f t="shared" si="30"/>
        <v/>
      </c>
      <c r="CB60" s="154" t="str">
        <f t="shared" si="30"/>
        <v/>
      </c>
      <c r="CC60" s="154" t="str">
        <f t="shared" si="30"/>
        <v/>
      </c>
      <c r="CD60" s="154" t="str">
        <f t="shared" si="30"/>
        <v/>
      </c>
      <c r="CE60" s="154" t="str">
        <f t="shared" si="30"/>
        <v/>
      </c>
      <c r="CF60" s="155">
        <f t="shared" si="27"/>
        <v>0</v>
      </c>
      <c r="CG60" s="156">
        <f t="shared" si="28"/>
        <v>0</v>
      </c>
    </row>
    <row r="61" spans="1:85" ht="12" customHeight="1">
      <c r="A61" s="149">
        <v>10</v>
      </c>
      <c r="B61" s="150"/>
      <c r="C61" s="150" t="s">
        <v>369</v>
      </c>
      <c r="D61" s="150" t="s">
        <v>387</v>
      </c>
      <c r="E61" s="173">
        <v>6</v>
      </c>
      <c r="F61" s="297"/>
      <c r="G61" s="175">
        <f t="shared" si="25"/>
        <v>6</v>
      </c>
      <c r="H61" s="150"/>
      <c r="I61" s="200"/>
      <c r="J61" s="150"/>
      <c r="K61" s="150"/>
      <c r="L61" s="150"/>
      <c r="M61" s="151"/>
      <c r="N61" s="149"/>
      <c r="O61" s="149"/>
      <c r="P61" s="152"/>
      <c r="Q61" s="151"/>
      <c r="R61" s="149"/>
      <c r="S61" s="149"/>
      <c r="T61" s="152"/>
      <c r="U61" s="151"/>
      <c r="V61" s="149"/>
      <c r="W61" s="149"/>
      <c r="X61" s="152"/>
      <c r="Y61" s="151"/>
      <c r="Z61" s="149"/>
      <c r="AA61" s="149"/>
      <c r="AB61" s="152"/>
      <c r="AC61" s="153"/>
      <c r="AD61" s="154" t="str">
        <f t="shared" si="30"/>
        <v/>
      </c>
      <c r="AE61" s="154" t="str">
        <f t="shared" si="30"/>
        <v/>
      </c>
      <c r="AF61" s="154" t="str">
        <f t="shared" si="30"/>
        <v/>
      </c>
      <c r="AG61" s="154" t="str">
        <f t="shared" si="30"/>
        <v/>
      </c>
      <c r="AH61" s="154" t="str">
        <f t="shared" si="30"/>
        <v/>
      </c>
      <c r="AI61" s="154" t="str">
        <f t="shared" si="30"/>
        <v/>
      </c>
      <c r="AJ61" s="154" t="str">
        <f t="shared" si="30"/>
        <v/>
      </c>
      <c r="AK61" s="154" t="str">
        <f t="shared" si="30"/>
        <v/>
      </c>
      <c r="AL61" s="154" t="str">
        <f t="shared" si="30"/>
        <v/>
      </c>
      <c r="AM61" s="154" t="str">
        <f t="shared" si="30"/>
        <v/>
      </c>
      <c r="AN61" s="154" t="str">
        <f t="shared" si="30"/>
        <v/>
      </c>
      <c r="AO61" s="154" t="str">
        <f t="shared" si="30"/>
        <v/>
      </c>
      <c r="AP61" s="154" t="str">
        <f t="shared" si="30"/>
        <v/>
      </c>
      <c r="AQ61" s="154" t="str">
        <f t="shared" si="30"/>
        <v/>
      </c>
      <c r="AR61" s="154" t="str">
        <f t="shared" si="30"/>
        <v/>
      </c>
      <c r="AS61" s="154" t="str">
        <f t="shared" si="30"/>
        <v/>
      </c>
      <c r="AT61" s="154" t="str">
        <f t="shared" si="30"/>
        <v/>
      </c>
      <c r="AU61" s="154" t="str">
        <f t="shared" si="30"/>
        <v/>
      </c>
      <c r="AV61" s="154" t="str">
        <f t="shared" si="30"/>
        <v/>
      </c>
      <c r="AW61" s="154" t="str">
        <f t="shared" si="30"/>
        <v/>
      </c>
      <c r="AX61" s="154" t="str">
        <f t="shared" si="30"/>
        <v/>
      </c>
      <c r="AY61" s="154" t="str">
        <f t="shared" si="30"/>
        <v/>
      </c>
      <c r="AZ61" s="154" t="str">
        <f t="shared" si="30"/>
        <v/>
      </c>
      <c r="BA61" s="154" t="str">
        <f t="shared" si="30"/>
        <v/>
      </c>
      <c r="BB61" s="154" t="str">
        <f t="shared" si="30"/>
        <v/>
      </c>
      <c r="BC61" s="154" t="str">
        <f t="shared" si="30"/>
        <v/>
      </c>
      <c r="BD61" s="154" t="str">
        <f t="shared" si="30"/>
        <v/>
      </c>
      <c r="BE61" s="154" t="str">
        <f t="shared" si="30"/>
        <v/>
      </c>
      <c r="BF61" s="154" t="str">
        <f t="shared" si="30"/>
        <v/>
      </c>
      <c r="BG61" s="154" t="str">
        <f t="shared" si="30"/>
        <v/>
      </c>
      <c r="BH61" s="154" t="str">
        <f t="shared" si="30"/>
        <v/>
      </c>
      <c r="BI61" s="154" t="str">
        <f t="shared" si="30"/>
        <v/>
      </c>
      <c r="BJ61" s="154" t="str">
        <f t="shared" si="30"/>
        <v/>
      </c>
      <c r="BK61" s="154" t="str">
        <f t="shared" si="30"/>
        <v/>
      </c>
      <c r="BL61" s="154" t="str">
        <f t="shared" si="30"/>
        <v/>
      </c>
      <c r="BM61" s="154" t="str">
        <f t="shared" si="30"/>
        <v/>
      </c>
      <c r="BN61" s="154" t="str">
        <f t="shared" si="30"/>
        <v/>
      </c>
      <c r="BO61" s="154" t="str">
        <f t="shared" si="30"/>
        <v/>
      </c>
      <c r="BP61" s="154" t="str">
        <f t="shared" si="30"/>
        <v/>
      </c>
      <c r="BQ61" s="154" t="str">
        <f t="shared" ref="BQ61:CE61" si="31">IF(BQ$9=$M61,$P61,IF(BQ$9=$Q61,$T61,IF(BQ$9=$U61,$X61,IF(BQ$9=$Y61,$AB61,IF(BQ$9=$L61,"ПС",IF(BQ$9=$I61,"КС",IF(AND(BQ$9&lt;$I61,BQ$9&gt;$L61),"--","")))))))</f>
        <v/>
      </c>
      <c r="BR61" s="154" t="str">
        <f t="shared" si="31"/>
        <v/>
      </c>
      <c r="BS61" s="154" t="str">
        <f t="shared" si="31"/>
        <v/>
      </c>
      <c r="BT61" s="154" t="str">
        <f t="shared" si="31"/>
        <v/>
      </c>
      <c r="BU61" s="154" t="str">
        <f t="shared" si="31"/>
        <v/>
      </c>
      <c r="BV61" s="154" t="str">
        <f t="shared" si="31"/>
        <v/>
      </c>
      <c r="BW61" s="154" t="str">
        <f t="shared" si="31"/>
        <v/>
      </c>
      <c r="BX61" s="154" t="str">
        <f t="shared" si="31"/>
        <v/>
      </c>
      <c r="BY61" s="154" t="str">
        <f t="shared" si="31"/>
        <v/>
      </c>
      <c r="BZ61" s="154" t="str">
        <f t="shared" si="31"/>
        <v/>
      </c>
      <c r="CA61" s="154" t="str">
        <f t="shared" si="31"/>
        <v/>
      </c>
      <c r="CB61" s="154" t="str">
        <f t="shared" si="31"/>
        <v/>
      </c>
      <c r="CC61" s="154" t="str">
        <f t="shared" si="31"/>
        <v/>
      </c>
      <c r="CD61" s="154" t="str">
        <f t="shared" si="31"/>
        <v/>
      </c>
      <c r="CE61" s="154" t="str">
        <f t="shared" si="31"/>
        <v/>
      </c>
      <c r="CF61" s="155">
        <f t="shared" si="27"/>
        <v>0</v>
      </c>
      <c r="CG61" s="156">
        <f t="shared" si="28"/>
        <v>0</v>
      </c>
    </row>
    <row r="62" spans="1:85" ht="12" customHeight="1">
      <c r="A62" s="149">
        <v>11</v>
      </c>
      <c r="B62" s="150"/>
      <c r="C62" s="150" t="s">
        <v>370</v>
      </c>
      <c r="D62" s="150" t="s">
        <v>387</v>
      </c>
      <c r="E62" s="173">
        <v>4</v>
      </c>
      <c r="F62" s="297"/>
      <c r="G62" s="175">
        <f t="shared" si="25"/>
        <v>4</v>
      </c>
      <c r="H62" s="150"/>
      <c r="I62" s="200"/>
      <c r="J62" s="150"/>
      <c r="K62" s="150"/>
      <c r="L62" s="150"/>
      <c r="M62" s="151"/>
      <c r="N62" s="149"/>
      <c r="O62" s="149"/>
      <c r="P62" s="152"/>
      <c r="Q62" s="151"/>
      <c r="R62" s="149"/>
      <c r="S62" s="149"/>
      <c r="T62" s="152"/>
      <c r="U62" s="151"/>
      <c r="V62" s="149"/>
      <c r="W62" s="149"/>
      <c r="X62" s="152"/>
      <c r="Y62" s="151"/>
      <c r="Z62" s="149"/>
      <c r="AA62" s="149"/>
      <c r="AB62" s="152"/>
      <c r="AC62" s="153"/>
      <c r="AD62" s="154" t="str">
        <f t="shared" ref="AD62:CE64" si="32">IF(AD$9=$M62,$P62,IF(AD$9=$Q62,$T62,IF(AD$9=$U62,$X62,IF(AD$9=$Y62,$AB62,IF(AD$9=$L62,"ПС",IF(AD$9=$I62,"КС",IF(AND(AD$9&lt;$I62,AD$9&gt;$L62),"--","")))))))</f>
        <v/>
      </c>
      <c r="AE62" s="154" t="str">
        <f t="shared" si="32"/>
        <v/>
      </c>
      <c r="AF62" s="154" t="str">
        <f t="shared" si="32"/>
        <v/>
      </c>
      <c r="AG62" s="154" t="str">
        <f t="shared" si="32"/>
        <v/>
      </c>
      <c r="AH62" s="154" t="str">
        <f t="shared" si="32"/>
        <v/>
      </c>
      <c r="AI62" s="154" t="str">
        <f t="shared" si="32"/>
        <v/>
      </c>
      <c r="AJ62" s="154" t="str">
        <f t="shared" si="32"/>
        <v/>
      </c>
      <c r="AK62" s="154" t="str">
        <f t="shared" si="32"/>
        <v/>
      </c>
      <c r="AL62" s="154" t="str">
        <f t="shared" si="32"/>
        <v/>
      </c>
      <c r="AM62" s="154" t="str">
        <f t="shared" si="32"/>
        <v/>
      </c>
      <c r="AN62" s="154" t="str">
        <f t="shared" si="32"/>
        <v/>
      </c>
      <c r="AO62" s="154" t="str">
        <f t="shared" si="32"/>
        <v/>
      </c>
      <c r="AP62" s="154" t="str">
        <f t="shared" si="32"/>
        <v/>
      </c>
      <c r="AQ62" s="154" t="str">
        <f t="shared" si="32"/>
        <v/>
      </c>
      <c r="AR62" s="154" t="str">
        <f t="shared" si="32"/>
        <v/>
      </c>
      <c r="AS62" s="154" t="str">
        <f t="shared" si="32"/>
        <v/>
      </c>
      <c r="AT62" s="154" t="str">
        <f t="shared" si="32"/>
        <v/>
      </c>
      <c r="AU62" s="154" t="str">
        <f t="shared" si="32"/>
        <v/>
      </c>
      <c r="AV62" s="154" t="str">
        <f t="shared" si="32"/>
        <v/>
      </c>
      <c r="AW62" s="154" t="str">
        <f t="shared" si="32"/>
        <v/>
      </c>
      <c r="AX62" s="154" t="str">
        <f t="shared" si="32"/>
        <v/>
      </c>
      <c r="AY62" s="154" t="str">
        <f t="shared" si="32"/>
        <v/>
      </c>
      <c r="AZ62" s="154" t="str">
        <f t="shared" si="32"/>
        <v/>
      </c>
      <c r="BA62" s="154" t="str">
        <f t="shared" si="32"/>
        <v/>
      </c>
      <c r="BB62" s="154" t="str">
        <f t="shared" si="32"/>
        <v/>
      </c>
      <c r="BC62" s="154" t="str">
        <f t="shared" si="32"/>
        <v/>
      </c>
      <c r="BD62" s="154" t="str">
        <f t="shared" si="32"/>
        <v/>
      </c>
      <c r="BE62" s="154" t="str">
        <f t="shared" si="32"/>
        <v/>
      </c>
      <c r="BF62" s="154" t="str">
        <f t="shared" si="32"/>
        <v/>
      </c>
      <c r="BG62" s="154" t="str">
        <f t="shared" si="32"/>
        <v/>
      </c>
      <c r="BH62" s="154" t="str">
        <f t="shared" si="32"/>
        <v/>
      </c>
      <c r="BI62" s="154" t="str">
        <f t="shared" si="32"/>
        <v/>
      </c>
      <c r="BJ62" s="154" t="str">
        <f t="shared" si="32"/>
        <v/>
      </c>
      <c r="BK62" s="154" t="str">
        <f t="shared" si="32"/>
        <v/>
      </c>
      <c r="BL62" s="154" t="str">
        <f t="shared" si="32"/>
        <v/>
      </c>
      <c r="BM62" s="154" t="str">
        <f t="shared" si="32"/>
        <v/>
      </c>
      <c r="BN62" s="154" t="str">
        <f t="shared" si="32"/>
        <v/>
      </c>
      <c r="BO62" s="154" t="str">
        <f t="shared" si="32"/>
        <v/>
      </c>
      <c r="BP62" s="154" t="str">
        <f t="shared" si="32"/>
        <v/>
      </c>
      <c r="BQ62" s="154" t="str">
        <f t="shared" si="32"/>
        <v/>
      </c>
      <c r="BR62" s="154" t="str">
        <f t="shared" si="32"/>
        <v/>
      </c>
      <c r="BS62" s="154" t="str">
        <f t="shared" si="32"/>
        <v/>
      </c>
      <c r="BT62" s="154" t="str">
        <f t="shared" si="32"/>
        <v/>
      </c>
      <c r="BU62" s="154" t="str">
        <f t="shared" si="32"/>
        <v/>
      </c>
      <c r="BV62" s="154" t="str">
        <f t="shared" si="32"/>
        <v/>
      </c>
      <c r="BW62" s="154" t="str">
        <f t="shared" si="32"/>
        <v/>
      </c>
      <c r="BX62" s="154" t="str">
        <f t="shared" si="32"/>
        <v/>
      </c>
      <c r="BY62" s="154" t="str">
        <f t="shared" si="32"/>
        <v/>
      </c>
      <c r="BZ62" s="154" t="str">
        <f t="shared" si="32"/>
        <v/>
      </c>
      <c r="CA62" s="154" t="str">
        <f t="shared" si="32"/>
        <v/>
      </c>
      <c r="CB62" s="154" t="str">
        <f t="shared" si="32"/>
        <v/>
      </c>
      <c r="CC62" s="154" t="str">
        <f t="shared" si="32"/>
        <v/>
      </c>
      <c r="CD62" s="154" t="str">
        <f t="shared" si="32"/>
        <v/>
      </c>
      <c r="CE62" s="154" t="str">
        <f t="shared" si="32"/>
        <v/>
      </c>
      <c r="CF62" s="155">
        <f t="shared" si="27"/>
        <v>0</v>
      </c>
      <c r="CG62" s="156">
        <f t="shared" si="28"/>
        <v>0</v>
      </c>
    </row>
    <row r="63" spans="1:85" ht="12" customHeight="1">
      <c r="A63" s="149">
        <v>12</v>
      </c>
      <c r="B63" s="150"/>
      <c r="C63" s="150" t="s">
        <v>375</v>
      </c>
      <c r="D63" s="150" t="s">
        <v>387</v>
      </c>
      <c r="E63" s="173">
        <v>2</v>
      </c>
      <c r="F63" s="297"/>
      <c r="G63" s="175">
        <f t="shared" si="25"/>
        <v>2</v>
      </c>
      <c r="H63" s="150"/>
      <c r="I63" s="200"/>
      <c r="J63" s="150"/>
      <c r="K63" s="150"/>
      <c r="L63" s="150"/>
      <c r="M63" s="151"/>
      <c r="N63" s="149"/>
      <c r="O63" s="149"/>
      <c r="P63" s="152"/>
      <c r="Q63" s="151"/>
      <c r="R63" s="149"/>
      <c r="S63" s="149"/>
      <c r="T63" s="152"/>
      <c r="U63" s="151"/>
      <c r="V63" s="149"/>
      <c r="W63" s="149"/>
      <c r="X63" s="152"/>
      <c r="Y63" s="151"/>
      <c r="Z63" s="149"/>
      <c r="AA63" s="149"/>
      <c r="AB63" s="152"/>
      <c r="AC63" s="153"/>
      <c r="AD63" s="154" t="str">
        <f t="shared" si="32"/>
        <v/>
      </c>
      <c r="AE63" s="154" t="str">
        <f t="shared" si="32"/>
        <v/>
      </c>
      <c r="AF63" s="154" t="str">
        <f t="shared" si="32"/>
        <v/>
      </c>
      <c r="AG63" s="154" t="str">
        <f t="shared" si="32"/>
        <v/>
      </c>
      <c r="AH63" s="154" t="str">
        <f t="shared" si="32"/>
        <v/>
      </c>
      <c r="AI63" s="154" t="str">
        <f t="shared" si="32"/>
        <v/>
      </c>
      <c r="AJ63" s="154" t="str">
        <f t="shared" si="32"/>
        <v/>
      </c>
      <c r="AK63" s="154" t="str">
        <f t="shared" si="32"/>
        <v/>
      </c>
      <c r="AL63" s="154" t="str">
        <f t="shared" si="32"/>
        <v/>
      </c>
      <c r="AM63" s="154" t="str">
        <f t="shared" si="32"/>
        <v/>
      </c>
      <c r="AN63" s="154" t="str">
        <f t="shared" si="32"/>
        <v/>
      </c>
      <c r="AO63" s="154" t="str">
        <f t="shared" si="32"/>
        <v/>
      </c>
      <c r="AP63" s="154" t="str">
        <f t="shared" si="32"/>
        <v/>
      </c>
      <c r="AQ63" s="154" t="str">
        <f t="shared" si="32"/>
        <v/>
      </c>
      <c r="AR63" s="154" t="str">
        <f t="shared" si="32"/>
        <v/>
      </c>
      <c r="AS63" s="154" t="str">
        <f t="shared" si="32"/>
        <v/>
      </c>
      <c r="AT63" s="154" t="str">
        <f t="shared" si="32"/>
        <v/>
      </c>
      <c r="AU63" s="154" t="str">
        <f t="shared" si="32"/>
        <v/>
      </c>
      <c r="AV63" s="154" t="str">
        <f t="shared" si="32"/>
        <v/>
      </c>
      <c r="AW63" s="154" t="str">
        <f t="shared" si="32"/>
        <v/>
      </c>
      <c r="AX63" s="154" t="str">
        <f t="shared" si="32"/>
        <v/>
      </c>
      <c r="AY63" s="154" t="str">
        <f t="shared" si="32"/>
        <v/>
      </c>
      <c r="AZ63" s="154" t="str">
        <f t="shared" si="32"/>
        <v/>
      </c>
      <c r="BA63" s="154" t="str">
        <f t="shared" si="32"/>
        <v/>
      </c>
      <c r="BB63" s="154" t="str">
        <f t="shared" si="32"/>
        <v/>
      </c>
      <c r="BC63" s="154" t="str">
        <f t="shared" si="32"/>
        <v/>
      </c>
      <c r="BD63" s="154" t="str">
        <f t="shared" si="32"/>
        <v/>
      </c>
      <c r="BE63" s="154" t="str">
        <f t="shared" si="32"/>
        <v/>
      </c>
      <c r="BF63" s="154" t="str">
        <f t="shared" si="32"/>
        <v/>
      </c>
      <c r="BG63" s="154" t="str">
        <f t="shared" si="32"/>
        <v/>
      </c>
      <c r="BH63" s="154" t="str">
        <f t="shared" si="32"/>
        <v/>
      </c>
      <c r="BI63" s="154" t="str">
        <f t="shared" si="32"/>
        <v/>
      </c>
      <c r="BJ63" s="154" t="str">
        <f t="shared" si="32"/>
        <v/>
      </c>
      <c r="BK63" s="154" t="str">
        <f t="shared" si="32"/>
        <v/>
      </c>
      <c r="BL63" s="154" t="str">
        <f t="shared" si="32"/>
        <v/>
      </c>
      <c r="BM63" s="154" t="str">
        <f t="shared" si="32"/>
        <v/>
      </c>
      <c r="BN63" s="154" t="str">
        <f t="shared" si="32"/>
        <v/>
      </c>
      <c r="BO63" s="154" t="str">
        <f t="shared" si="32"/>
        <v/>
      </c>
      <c r="BP63" s="154" t="str">
        <f t="shared" si="32"/>
        <v/>
      </c>
      <c r="BQ63" s="154" t="str">
        <f t="shared" si="32"/>
        <v/>
      </c>
      <c r="BR63" s="154" t="str">
        <f t="shared" si="32"/>
        <v/>
      </c>
      <c r="BS63" s="154" t="str">
        <f t="shared" si="32"/>
        <v/>
      </c>
      <c r="BT63" s="154" t="str">
        <f t="shared" si="32"/>
        <v/>
      </c>
      <c r="BU63" s="154" t="str">
        <f t="shared" si="32"/>
        <v/>
      </c>
      <c r="BV63" s="154" t="str">
        <f t="shared" si="32"/>
        <v/>
      </c>
      <c r="BW63" s="154" t="str">
        <f t="shared" si="32"/>
        <v/>
      </c>
      <c r="BX63" s="154" t="str">
        <f t="shared" si="32"/>
        <v/>
      </c>
      <c r="BY63" s="154" t="str">
        <f t="shared" si="32"/>
        <v/>
      </c>
      <c r="BZ63" s="154" t="str">
        <f t="shared" si="32"/>
        <v/>
      </c>
      <c r="CA63" s="154" t="str">
        <f t="shared" si="32"/>
        <v/>
      </c>
      <c r="CB63" s="154" t="str">
        <f t="shared" si="32"/>
        <v/>
      </c>
      <c r="CC63" s="154" t="str">
        <f t="shared" si="32"/>
        <v/>
      </c>
      <c r="CD63" s="154" t="str">
        <f t="shared" si="32"/>
        <v/>
      </c>
      <c r="CE63" s="154" t="str">
        <f t="shared" si="32"/>
        <v/>
      </c>
      <c r="CF63" s="155">
        <f t="shared" si="27"/>
        <v>0</v>
      </c>
      <c r="CG63" s="156">
        <f t="shared" si="28"/>
        <v>0</v>
      </c>
    </row>
    <row r="64" spans="1:85" ht="12" customHeight="1">
      <c r="A64" s="149">
        <v>13</v>
      </c>
      <c r="B64" s="150"/>
      <c r="C64" s="150" t="s">
        <v>357</v>
      </c>
      <c r="D64" s="150" t="s">
        <v>387</v>
      </c>
      <c r="E64" s="173">
        <v>4</v>
      </c>
      <c r="F64" s="297"/>
      <c r="G64" s="175">
        <f t="shared" si="25"/>
        <v>4</v>
      </c>
      <c r="H64" s="150"/>
      <c r="I64" s="200"/>
      <c r="J64" s="150"/>
      <c r="K64" s="150"/>
      <c r="L64" s="150"/>
      <c r="M64" s="151"/>
      <c r="N64" s="149"/>
      <c r="O64" s="149"/>
      <c r="P64" s="152"/>
      <c r="Q64" s="151"/>
      <c r="R64" s="149"/>
      <c r="S64" s="149"/>
      <c r="T64" s="152"/>
      <c r="U64" s="151"/>
      <c r="V64" s="149"/>
      <c r="W64" s="149"/>
      <c r="X64" s="152"/>
      <c r="Y64" s="151"/>
      <c r="Z64" s="149"/>
      <c r="AA64" s="149"/>
      <c r="AB64" s="152"/>
      <c r="AC64" s="153"/>
      <c r="AD64" s="154" t="str">
        <f t="shared" si="32"/>
        <v/>
      </c>
      <c r="AE64" s="154" t="str">
        <f t="shared" si="32"/>
        <v/>
      </c>
      <c r="AF64" s="154" t="str">
        <f t="shared" si="32"/>
        <v/>
      </c>
      <c r="AG64" s="154" t="str">
        <f t="shared" si="32"/>
        <v/>
      </c>
      <c r="AH64" s="154" t="str">
        <f t="shared" si="32"/>
        <v/>
      </c>
      <c r="AI64" s="154" t="str">
        <f t="shared" si="32"/>
        <v/>
      </c>
      <c r="AJ64" s="154" t="str">
        <f t="shared" si="32"/>
        <v/>
      </c>
      <c r="AK64" s="154" t="str">
        <f t="shared" si="32"/>
        <v/>
      </c>
      <c r="AL64" s="154" t="str">
        <f t="shared" si="32"/>
        <v/>
      </c>
      <c r="AM64" s="154" t="str">
        <f t="shared" si="32"/>
        <v/>
      </c>
      <c r="AN64" s="154" t="str">
        <f t="shared" si="32"/>
        <v/>
      </c>
      <c r="AO64" s="154" t="str">
        <f t="shared" si="32"/>
        <v/>
      </c>
      <c r="AP64" s="154" t="str">
        <f t="shared" si="32"/>
        <v/>
      </c>
      <c r="AQ64" s="154" t="str">
        <f t="shared" si="32"/>
        <v/>
      </c>
      <c r="AR64" s="154" t="str">
        <f t="shared" si="32"/>
        <v/>
      </c>
      <c r="AS64" s="154" t="str">
        <f t="shared" si="32"/>
        <v/>
      </c>
      <c r="AT64" s="154" t="str">
        <f t="shared" si="32"/>
        <v/>
      </c>
      <c r="AU64" s="154" t="str">
        <f t="shared" si="32"/>
        <v/>
      </c>
      <c r="AV64" s="154" t="str">
        <f t="shared" si="32"/>
        <v/>
      </c>
      <c r="AW64" s="154" t="str">
        <f t="shared" si="32"/>
        <v/>
      </c>
      <c r="AX64" s="154" t="str">
        <f t="shared" si="32"/>
        <v/>
      </c>
      <c r="AY64" s="154" t="str">
        <f t="shared" si="32"/>
        <v/>
      </c>
      <c r="AZ64" s="154" t="str">
        <f t="shared" si="32"/>
        <v/>
      </c>
      <c r="BA64" s="154" t="str">
        <f t="shared" si="32"/>
        <v/>
      </c>
      <c r="BB64" s="154" t="str">
        <f t="shared" si="32"/>
        <v/>
      </c>
      <c r="BC64" s="154" t="str">
        <f t="shared" si="32"/>
        <v/>
      </c>
      <c r="BD64" s="154" t="str">
        <f t="shared" si="32"/>
        <v/>
      </c>
      <c r="BE64" s="154" t="str">
        <f t="shared" si="32"/>
        <v/>
      </c>
      <c r="BF64" s="154" t="str">
        <f t="shared" si="32"/>
        <v/>
      </c>
      <c r="BG64" s="154" t="str">
        <f t="shared" si="32"/>
        <v/>
      </c>
      <c r="BH64" s="154" t="str">
        <f t="shared" si="32"/>
        <v/>
      </c>
      <c r="BI64" s="154" t="str">
        <f t="shared" si="32"/>
        <v/>
      </c>
      <c r="BJ64" s="154" t="str">
        <f t="shared" si="32"/>
        <v/>
      </c>
      <c r="BK64" s="154" t="str">
        <f t="shared" si="32"/>
        <v/>
      </c>
      <c r="BL64" s="154" t="str">
        <f t="shared" si="32"/>
        <v/>
      </c>
      <c r="BM64" s="154" t="str">
        <f t="shared" si="32"/>
        <v/>
      </c>
      <c r="BN64" s="154" t="str">
        <f t="shared" si="32"/>
        <v/>
      </c>
      <c r="BO64" s="154" t="str">
        <f t="shared" si="32"/>
        <v/>
      </c>
      <c r="BP64" s="154" t="str">
        <f t="shared" si="32"/>
        <v/>
      </c>
      <c r="BQ64" s="154" t="str">
        <f t="shared" si="32"/>
        <v/>
      </c>
      <c r="BR64" s="154" t="str">
        <f t="shared" si="32"/>
        <v/>
      </c>
      <c r="BS64" s="154" t="str">
        <f t="shared" si="32"/>
        <v/>
      </c>
      <c r="BT64" s="154" t="str">
        <f t="shared" si="32"/>
        <v/>
      </c>
      <c r="BU64" s="154" t="str">
        <f t="shared" si="32"/>
        <v/>
      </c>
      <c r="BV64" s="154" t="str">
        <f t="shared" si="32"/>
        <v/>
      </c>
      <c r="BW64" s="154" t="str">
        <f t="shared" si="32"/>
        <v/>
      </c>
      <c r="BX64" s="154" t="str">
        <f t="shared" si="32"/>
        <v/>
      </c>
      <c r="BY64" s="154" t="str">
        <f t="shared" si="32"/>
        <v/>
      </c>
      <c r="BZ64" s="154" t="str">
        <f t="shared" si="32"/>
        <v/>
      </c>
      <c r="CA64" s="154" t="str">
        <f t="shared" si="32"/>
        <v/>
      </c>
      <c r="CB64" s="154" t="str">
        <f t="shared" si="32"/>
        <v/>
      </c>
      <c r="CC64" s="154" t="str">
        <f t="shared" si="32"/>
        <v/>
      </c>
      <c r="CD64" s="154" t="str">
        <f t="shared" si="32"/>
        <v/>
      </c>
      <c r="CE64" s="154" t="str">
        <f t="shared" si="32"/>
        <v/>
      </c>
      <c r="CF64" s="155">
        <f t="shared" si="27"/>
        <v>0</v>
      </c>
      <c r="CG64" s="156">
        <f t="shared" si="28"/>
        <v>0</v>
      </c>
    </row>
    <row r="65" spans="1:85" s="148" customFormat="1" ht="15" customHeight="1">
      <c r="A65" s="294" t="s">
        <v>379</v>
      </c>
      <c r="B65" s="295"/>
      <c r="C65" s="139"/>
      <c r="D65" s="139"/>
      <c r="E65" s="139"/>
      <c r="F65" s="297"/>
      <c r="G65" s="139"/>
      <c r="H65" s="140"/>
      <c r="I65" s="140"/>
      <c r="J65" s="140"/>
      <c r="K65" s="141"/>
      <c r="L65" s="141"/>
      <c r="M65" s="142"/>
      <c r="N65" s="143"/>
      <c r="O65" s="143"/>
      <c r="P65" s="144"/>
      <c r="Q65" s="142"/>
      <c r="R65" s="143"/>
      <c r="S65" s="143"/>
      <c r="T65" s="144"/>
      <c r="U65" s="142"/>
      <c r="V65" s="143"/>
      <c r="W65" s="143"/>
      <c r="X65" s="144"/>
      <c r="Y65" s="142"/>
      <c r="Z65" s="143"/>
      <c r="AA65" s="143"/>
      <c r="AB65" s="144"/>
      <c r="AC65" s="143"/>
      <c r="AD65" s="145" t="str">
        <f>IF(OR(WEEKDAY(AD$9)=1,WEEKDAY(AD$9)=7),"В",IF(AD$9=$H$3,"О",""))</f>
        <v/>
      </c>
      <c r="AE65" s="145" t="str">
        <f t="shared" ref="AE65:CE65" si="33">IF(OR(WEEKDAY(AE$9)=1,WEEKDAY(AE$9)=7),"В",IF(AE$9=$H$3,"О",""))</f>
        <v/>
      </c>
      <c r="AF65" s="145" t="str">
        <f t="shared" si="33"/>
        <v/>
      </c>
      <c r="AG65" s="145" t="str">
        <f t="shared" si="33"/>
        <v>В</v>
      </c>
      <c r="AH65" s="145" t="str">
        <f t="shared" si="33"/>
        <v>В</v>
      </c>
      <c r="AI65" s="145" t="str">
        <f t="shared" si="33"/>
        <v/>
      </c>
      <c r="AJ65" s="145" t="str">
        <f t="shared" si="33"/>
        <v/>
      </c>
      <c r="AK65" s="145" t="str">
        <f t="shared" si="33"/>
        <v/>
      </c>
      <c r="AL65" s="145" t="str">
        <f t="shared" si="33"/>
        <v/>
      </c>
      <c r="AM65" s="145" t="str">
        <f t="shared" si="33"/>
        <v/>
      </c>
      <c r="AN65" s="145" t="str">
        <f t="shared" si="33"/>
        <v>В</v>
      </c>
      <c r="AO65" s="145" t="str">
        <f t="shared" si="33"/>
        <v>В</v>
      </c>
      <c r="AP65" s="145" t="str">
        <f t="shared" si="33"/>
        <v/>
      </c>
      <c r="AQ65" s="145" t="str">
        <f t="shared" si="33"/>
        <v/>
      </c>
      <c r="AR65" s="145" t="str">
        <f t="shared" si="33"/>
        <v/>
      </c>
      <c r="AS65" s="145" t="str">
        <f t="shared" si="33"/>
        <v/>
      </c>
      <c r="AT65" s="145" t="str">
        <f t="shared" si="33"/>
        <v/>
      </c>
      <c r="AU65" s="145" t="str">
        <f t="shared" si="33"/>
        <v>В</v>
      </c>
      <c r="AV65" s="145" t="str">
        <f t="shared" si="33"/>
        <v>В</v>
      </c>
      <c r="AW65" s="145" t="str">
        <f t="shared" si="33"/>
        <v/>
      </c>
      <c r="AX65" s="145" t="str">
        <f t="shared" si="33"/>
        <v/>
      </c>
      <c r="AY65" s="145" t="str">
        <f t="shared" si="33"/>
        <v/>
      </c>
      <c r="AZ65" s="145" t="str">
        <f t="shared" si="33"/>
        <v/>
      </c>
      <c r="BA65" s="145" t="str">
        <f t="shared" si="33"/>
        <v/>
      </c>
      <c r="BB65" s="145" t="str">
        <f t="shared" si="33"/>
        <v>В</v>
      </c>
      <c r="BC65" s="145" t="str">
        <f t="shared" si="33"/>
        <v>В</v>
      </c>
      <c r="BD65" s="145" t="str">
        <f t="shared" si="33"/>
        <v/>
      </c>
      <c r="BE65" s="145" t="str">
        <f t="shared" si="33"/>
        <v/>
      </c>
      <c r="BF65" s="145" t="str">
        <f t="shared" si="33"/>
        <v/>
      </c>
      <c r="BG65" s="145" t="str">
        <f t="shared" si="33"/>
        <v/>
      </c>
      <c r="BH65" s="145" t="str">
        <f t="shared" si="33"/>
        <v/>
      </c>
      <c r="BI65" s="145" t="str">
        <f t="shared" si="33"/>
        <v>В</v>
      </c>
      <c r="BJ65" s="145" t="str">
        <f t="shared" si="33"/>
        <v>В</v>
      </c>
      <c r="BK65" s="145" t="str">
        <f t="shared" si="33"/>
        <v/>
      </c>
      <c r="BL65" s="145" t="str">
        <f t="shared" si="33"/>
        <v/>
      </c>
      <c r="BM65" s="145" t="str">
        <f t="shared" si="33"/>
        <v/>
      </c>
      <c r="BN65" s="145" t="str">
        <f t="shared" si="33"/>
        <v/>
      </c>
      <c r="BO65" s="145" t="str">
        <f t="shared" si="33"/>
        <v/>
      </c>
      <c r="BP65" s="145" t="str">
        <f t="shared" si="33"/>
        <v>В</v>
      </c>
      <c r="BQ65" s="145" t="str">
        <f t="shared" si="33"/>
        <v>В</v>
      </c>
      <c r="BR65" s="145" t="str">
        <f t="shared" si="33"/>
        <v/>
      </c>
      <c r="BS65" s="145" t="str">
        <f t="shared" si="33"/>
        <v/>
      </c>
      <c r="BT65" s="145" t="str">
        <f t="shared" si="33"/>
        <v/>
      </c>
      <c r="BU65" s="145" t="str">
        <f t="shared" si="33"/>
        <v/>
      </c>
      <c r="BV65" s="145" t="str">
        <f t="shared" si="33"/>
        <v/>
      </c>
      <c r="BW65" s="145" t="str">
        <f t="shared" si="33"/>
        <v>В</v>
      </c>
      <c r="BX65" s="145" t="str">
        <f t="shared" si="33"/>
        <v>В</v>
      </c>
      <c r="BY65" s="145" t="str">
        <f t="shared" si="33"/>
        <v/>
      </c>
      <c r="BZ65" s="145" t="str">
        <f t="shared" si="33"/>
        <v/>
      </c>
      <c r="CA65" s="145" t="str">
        <f t="shared" si="33"/>
        <v/>
      </c>
      <c r="CB65" s="145" t="str">
        <f t="shared" si="33"/>
        <v/>
      </c>
      <c r="CC65" s="145" t="str">
        <f t="shared" si="33"/>
        <v/>
      </c>
      <c r="CD65" s="145" t="str">
        <f t="shared" si="33"/>
        <v>В</v>
      </c>
      <c r="CE65" s="145" t="str">
        <f t="shared" si="33"/>
        <v>В</v>
      </c>
      <c r="CF65" s="146"/>
      <c r="CG65" s="147"/>
    </row>
    <row r="66" spans="1:85" ht="12" customHeight="1">
      <c r="A66" s="149">
        <v>1</v>
      </c>
      <c r="B66" s="150"/>
      <c r="C66" s="150" t="s">
        <v>447</v>
      </c>
      <c r="D66" s="150" t="s">
        <v>381</v>
      </c>
      <c r="E66" s="173">
        <v>2.8980000000000001</v>
      </c>
      <c r="F66" s="298"/>
      <c r="G66" s="175">
        <f>$F$10*E66</f>
        <v>2.8980000000000001</v>
      </c>
      <c r="H66" s="150"/>
      <c r="I66" s="200"/>
      <c r="J66" s="150"/>
      <c r="K66" s="150"/>
      <c r="L66" s="150"/>
      <c r="M66" s="151"/>
      <c r="N66" s="149"/>
      <c r="O66" s="149"/>
      <c r="P66" s="152"/>
      <c r="Q66" s="151"/>
      <c r="R66" s="149"/>
      <c r="S66" s="149"/>
      <c r="T66" s="152"/>
      <c r="U66" s="151"/>
      <c r="V66" s="149"/>
      <c r="W66" s="149"/>
      <c r="X66" s="152"/>
      <c r="Y66" s="151"/>
      <c r="Z66" s="149"/>
      <c r="AA66" s="149"/>
      <c r="AB66" s="152"/>
      <c r="AC66" s="153"/>
      <c r="AD66" s="154" t="str">
        <f t="shared" ref="AD66:CE66" si="34">IF(AD$9=$M66,$P66,IF(AD$9=$Q66,$T66,IF(AD$9=$U66,$X66,IF(AD$9=$Y66,$AB66,IF(AD$9=$L66,"ПС",IF(AD$9=$I66,"КС",IF(AND(AD$9&lt;$I66,AD$9&gt;$L66),"--","")))))))</f>
        <v/>
      </c>
      <c r="AE66" s="154" t="str">
        <f t="shared" si="34"/>
        <v/>
      </c>
      <c r="AF66" s="154" t="str">
        <f t="shared" si="34"/>
        <v/>
      </c>
      <c r="AG66" s="154" t="str">
        <f t="shared" si="34"/>
        <v/>
      </c>
      <c r="AH66" s="154" t="str">
        <f t="shared" si="34"/>
        <v/>
      </c>
      <c r="AI66" s="154" t="str">
        <f t="shared" si="34"/>
        <v/>
      </c>
      <c r="AJ66" s="154" t="str">
        <f t="shared" si="34"/>
        <v/>
      </c>
      <c r="AK66" s="154" t="str">
        <f t="shared" si="34"/>
        <v/>
      </c>
      <c r="AL66" s="154" t="str">
        <f t="shared" si="34"/>
        <v/>
      </c>
      <c r="AM66" s="154" t="str">
        <f t="shared" si="34"/>
        <v/>
      </c>
      <c r="AN66" s="154" t="str">
        <f t="shared" si="34"/>
        <v/>
      </c>
      <c r="AO66" s="154" t="str">
        <f t="shared" si="34"/>
        <v/>
      </c>
      <c r="AP66" s="154" t="str">
        <f t="shared" si="34"/>
        <v/>
      </c>
      <c r="AQ66" s="154" t="str">
        <f t="shared" si="34"/>
        <v/>
      </c>
      <c r="AR66" s="154" t="str">
        <f t="shared" si="34"/>
        <v/>
      </c>
      <c r="AS66" s="154" t="str">
        <f t="shared" si="34"/>
        <v/>
      </c>
      <c r="AT66" s="154" t="str">
        <f t="shared" si="34"/>
        <v/>
      </c>
      <c r="AU66" s="154" t="str">
        <f t="shared" si="34"/>
        <v/>
      </c>
      <c r="AV66" s="154" t="str">
        <f t="shared" si="34"/>
        <v/>
      </c>
      <c r="AW66" s="154" t="str">
        <f t="shared" si="34"/>
        <v/>
      </c>
      <c r="AX66" s="154" t="str">
        <f t="shared" si="34"/>
        <v/>
      </c>
      <c r="AY66" s="154" t="str">
        <f t="shared" si="34"/>
        <v/>
      </c>
      <c r="AZ66" s="154" t="str">
        <f t="shared" si="34"/>
        <v/>
      </c>
      <c r="BA66" s="154" t="str">
        <f t="shared" si="34"/>
        <v/>
      </c>
      <c r="BB66" s="154" t="str">
        <f t="shared" si="34"/>
        <v/>
      </c>
      <c r="BC66" s="154" t="str">
        <f t="shared" si="34"/>
        <v/>
      </c>
      <c r="BD66" s="154" t="str">
        <f t="shared" si="34"/>
        <v/>
      </c>
      <c r="BE66" s="154" t="str">
        <f t="shared" si="34"/>
        <v/>
      </c>
      <c r="BF66" s="154" t="str">
        <f t="shared" si="34"/>
        <v/>
      </c>
      <c r="BG66" s="154" t="str">
        <f t="shared" si="34"/>
        <v/>
      </c>
      <c r="BH66" s="154" t="str">
        <f t="shared" si="34"/>
        <v/>
      </c>
      <c r="BI66" s="154" t="str">
        <f t="shared" si="34"/>
        <v/>
      </c>
      <c r="BJ66" s="154" t="str">
        <f t="shared" si="34"/>
        <v/>
      </c>
      <c r="BK66" s="154" t="str">
        <f t="shared" si="34"/>
        <v/>
      </c>
      <c r="BL66" s="154" t="str">
        <f t="shared" si="34"/>
        <v/>
      </c>
      <c r="BM66" s="154" t="str">
        <f t="shared" si="34"/>
        <v/>
      </c>
      <c r="BN66" s="154" t="str">
        <f t="shared" si="34"/>
        <v/>
      </c>
      <c r="BO66" s="154" t="str">
        <f t="shared" si="34"/>
        <v/>
      </c>
      <c r="BP66" s="154" t="str">
        <f t="shared" si="34"/>
        <v/>
      </c>
      <c r="BQ66" s="154" t="str">
        <f t="shared" si="34"/>
        <v/>
      </c>
      <c r="BR66" s="154" t="str">
        <f t="shared" si="34"/>
        <v/>
      </c>
      <c r="BS66" s="154" t="str">
        <f t="shared" si="34"/>
        <v/>
      </c>
      <c r="BT66" s="154" t="str">
        <f t="shared" si="34"/>
        <v/>
      </c>
      <c r="BU66" s="154" t="str">
        <f t="shared" si="34"/>
        <v/>
      </c>
      <c r="BV66" s="154" t="str">
        <f t="shared" si="34"/>
        <v/>
      </c>
      <c r="BW66" s="154" t="str">
        <f t="shared" si="34"/>
        <v/>
      </c>
      <c r="BX66" s="154" t="str">
        <f t="shared" si="34"/>
        <v/>
      </c>
      <c r="BY66" s="154" t="str">
        <f t="shared" si="34"/>
        <v/>
      </c>
      <c r="BZ66" s="154" t="str">
        <f t="shared" si="34"/>
        <v/>
      </c>
      <c r="CA66" s="154" t="str">
        <f t="shared" si="34"/>
        <v/>
      </c>
      <c r="CB66" s="154" t="str">
        <f t="shared" si="34"/>
        <v/>
      </c>
      <c r="CC66" s="154" t="str">
        <f t="shared" si="34"/>
        <v/>
      </c>
      <c r="CD66" s="154" t="str">
        <f t="shared" si="34"/>
        <v/>
      </c>
      <c r="CE66" s="154" t="str">
        <f t="shared" si="34"/>
        <v/>
      </c>
      <c r="CF66" s="155">
        <f>SUM(AB66+X66+T66+P66)</f>
        <v>0</v>
      </c>
      <c r="CG66" s="156">
        <f>CF66/E66</f>
        <v>0</v>
      </c>
    </row>
    <row r="68" spans="1:85" ht="18">
      <c r="A68" s="157" t="s">
        <v>157</v>
      </c>
      <c r="B68" s="110"/>
      <c r="C68" s="110"/>
      <c r="I68" s="158" t="s">
        <v>158</v>
      </c>
      <c r="J68" s="159"/>
      <c r="K68" s="160"/>
      <c r="L68" s="161"/>
      <c r="CF68" s="111" t="s">
        <v>159</v>
      </c>
    </row>
    <row r="69" spans="1:85" ht="14">
      <c r="I69" s="162" t="s">
        <v>160</v>
      </c>
      <c r="J69" s="111"/>
      <c r="L69" s="163" t="s">
        <v>38</v>
      </c>
      <c r="CF69" s="111" t="s">
        <v>161</v>
      </c>
    </row>
    <row r="70" spans="1:85" ht="16">
      <c r="A70" s="164" t="s">
        <v>162</v>
      </c>
      <c r="I70" s="162" t="s">
        <v>163</v>
      </c>
      <c r="J70" s="111"/>
      <c r="L70" s="165"/>
      <c r="CF70" s="166" t="s">
        <v>118</v>
      </c>
    </row>
    <row r="71" spans="1:85" ht="15.75" customHeight="1">
      <c r="I71" s="162"/>
      <c r="L71" s="167"/>
      <c r="CF71" s="111" t="s">
        <v>164</v>
      </c>
    </row>
    <row r="72" spans="1:85" ht="16">
      <c r="A72" s="168" t="s">
        <v>165</v>
      </c>
      <c r="B72" s="169"/>
      <c r="C72" s="169"/>
      <c r="D72" s="169"/>
      <c r="E72" s="169"/>
      <c r="F72" s="169"/>
      <c r="G72" s="169"/>
      <c r="H72" s="169"/>
      <c r="I72" s="162"/>
      <c r="L72" s="165"/>
      <c r="CF72" s="111" t="s">
        <v>166</v>
      </c>
    </row>
    <row r="73" spans="1:85" ht="14">
      <c r="I73" s="162" t="s">
        <v>167</v>
      </c>
      <c r="L73" s="170"/>
    </row>
    <row r="74" spans="1:85">
      <c r="A74" s="111" t="s">
        <v>168</v>
      </c>
      <c r="D74" s="123"/>
      <c r="E74" s="123"/>
      <c r="F74" s="123"/>
      <c r="G74" s="123"/>
      <c r="H74" s="123"/>
      <c r="I74" s="162"/>
      <c r="CF74" s="111" t="s">
        <v>36</v>
      </c>
    </row>
    <row r="75" spans="1:85">
      <c r="A75" s="111" t="s">
        <v>169</v>
      </c>
      <c r="I75" s="162" t="s">
        <v>170</v>
      </c>
      <c r="CF75" s="111" t="s">
        <v>38</v>
      </c>
    </row>
    <row r="76" spans="1:85">
      <c r="A76" s="111" t="s">
        <v>171</v>
      </c>
      <c r="I76" s="171"/>
      <c r="J76" s="123"/>
      <c r="K76" s="123"/>
      <c r="L76" s="172"/>
    </row>
  </sheetData>
  <mergeCells count="34">
    <mergeCell ref="K1:L1"/>
    <mergeCell ref="A2:C2"/>
    <mergeCell ref="D2:H2"/>
    <mergeCell ref="K2:L2"/>
    <mergeCell ref="C8:C9"/>
    <mergeCell ref="D8:D9"/>
    <mergeCell ref="E8:E9"/>
    <mergeCell ref="A1:C1"/>
    <mergeCell ref="D1:H1"/>
    <mergeCell ref="A3:C3"/>
    <mergeCell ref="D3:G3"/>
    <mergeCell ref="A5:AA5"/>
    <mergeCell ref="B8:B9"/>
    <mergeCell ref="AE5:CE5"/>
    <mergeCell ref="A6:AD6"/>
    <mergeCell ref="A10:B10"/>
    <mergeCell ref="AD8:CE8"/>
    <mergeCell ref="F8:F9"/>
    <mergeCell ref="G8:G9"/>
    <mergeCell ref="H8:H9"/>
    <mergeCell ref="I8:I9"/>
    <mergeCell ref="J8:J9"/>
    <mergeCell ref="K8:K9"/>
    <mergeCell ref="L8:L9"/>
    <mergeCell ref="M8:P8"/>
    <mergeCell ref="Q8:T8"/>
    <mergeCell ref="U8:X8"/>
    <mergeCell ref="Y8:AB8"/>
    <mergeCell ref="A8:A9"/>
    <mergeCell ref="A35:B35"/>
    <mergeCell ref="A46:B46"/>
    <mergeCell ref="A51:B51"/>
    <mergeCell ref="A65:B65"/>
    <mergeCell ref="F10:F66"/>
  </mergeCells>
  <conditionalFormatting sqref="G11:G34">
    <cfRule type="cellIs" dxfId="9" priority="57" operator="equal">
      <formula>0</formula>
    </cfRule>
  </conditionalFormatting>
  <conditionalFormatting sqref="G36:G45">
    <cfRule type="cellIs" dxfId="8" priority="37" operator="equal">
      <formula>0</formula>
    </cfRule>
  </conditionalFormatting>
  <conditionalFormatting sqref="G47:G50">
    <cfRule type="cellIs" dxfId="7" priority="29" operator="equal">
      <formula>0</formula>
    </cfRule>
  </conditionalFormatting>
  <conditionalFormatting sqref="G52:G64">
    <cfRule type="cellIs" dxfId="6" priority="3" operator="equal">
      <formula>0</formula>
    </cfRule>
  </conditionalFormatting>
  <conditionalFormatting sqref="G66">
    <cfRule type="cellIs" dxfId="5" priority="1" operator="equal">
      <formula>0</formula>
    </cfRule>
  </conditionalFormatting>
  <conditionalFormatting sqref="I11:I34">
    <cfRule type="cellIs" dxfId="4" priority="58" operator="equal">
      <formula>0</formula>
    </cfRule>
  </conditionalFormatting>
  <conditionalFormatting sqref="I36:I45">
    <cfRule type="cellIs" dxfId="3" priority="38" operator="equal">
      <formula>0</formula>
    </cfRule>
  </conditionalFormatting>
  <conditionalFormatting sqref="I47:I50">
    <cfRule type="cellIs" dxfId="2" priority="30" operator="equal">
      <formula>0</formula>
    </cfRule>
  </conditionalFormatting>
  <conditionalFormatting sqref="I52:I64">
    <cfRule type="cellIs" dxfId="1" priority="4" operator="equal">
      <formula>0</formula>
    </cfRule>
  </conditionalFormatting>
  <conditionalFormatting sqref="I66">
    <cfRule type="cellIs" dxfId="0" priority="2" operator="equal">
      <formula>0</formula>
    </cfRule>
  </conditionalFormatting>
  <dataValidations disablePrompts="1" count="2">
    <dataValidation type="list" allowBlank="1" showInputMessage="1" showErrorMessage="1" sqref="L69 JH69 TD69 ACZ69 AMV69 AWR69 BGN69 BQJ69 CAF69 CKB69 CTX69 DDT69 DNP69 DXL69 EHH69 ERD69 FAZ69 FKV69 FUR69 GEN69 GOJ69 GYF69 HIB69 HRX69 IBT69 ILP69 IVL69 JFH69 JPD69 JYZ69 KIV69 KSR69 LCN69 LMJ69 LWF69 MGB69 MPX69 MZT69 NJP69 NTL69 ODH69 OND69 OWZ69 PGV69 PQR69 QAN69 QKJ69 QUF69 REB69 RNX69 RXT69 SHP69 SRL69 TBH69 TLD69 TUZ69 UEV69 UOR69 UYN69 VIJ69 VSF69 WCB69 WLX69 WVT69 L65605 JH65605 TD65605 ACZ65605 AMV65605 AWR65605 BGN65605 BQJ65605 CAF65605 CKB65605 CTX65605 DDT65605 DNP65605 DXL65605 EHH65605 ERD65605 FAZ65605 FKV65605 FUR65605 GEN65605 GOJ65605 GYF65605 HIB65605 HRX65605 IBT65605 ILP65605 IVL65605 JFH65605 JPD65605 JYZ65605 KIV65605 KSR65605 LCN65605 LMJ65605 LWF65605 MGB65605 MPX65605 MZT65605 NJP65605 NTL65605 ODH65605 OND65605 OWZ65605 PGV65605 PQR65605 QAN65605 QKJ65605 QUF65605 REB65605 RNX65605 RXT65605 SHP65605 SRL65605 TBH65605 TLD65605 TUZ65605 UEV65605 UOR65605 UYN65605 VIJ65605 VSF65605 WCB65605 WLX65605 WVT65605 L131141 JH131141 TD131141 ACZ131141 AMV131141 AWR131141 BGN131141 BQJ131141 CAF131141 CKB131141 CTX131141 DDT131141 DNP131141 DXL131141 EHH131141 ERD131141 FAZ131141 FKV131141 FUR131141 GEN131141 GOJ131141 GYF131141 HIB131141 HRX131141 IBT131141 ILP131141 IVL131141 JFH131141 JPD131141 JYZ131141 KIV131141 KSR131141 LCN131141 LMJ131141 LWF131141 MGB131141 MPX131141 MZT131141 NJP131141 NTL131141 ODH131141 OND131141 OWZ131141 PGV131141 PQR131141 QAN131141 QKJ131141 QUF131141 REB131141 RNX131141 RXT131141 SHP131141 SRL131141 TBH131141 TLD131141 TUZ131141 UEV131141 UOR131141 UYN131141 VIJ131141 VSF131141 WCB131141 WLX131141 WVT131141 L196677 JH196677 TD196677 ACZ196677 AMV196677 AWR196677 BGN196677 BQJ196677 CAF196677 CKB196677 CTX196677 DDT196677 DNP196677 DXL196677 EHH196677 ERD196677 FAZ196677 FKV196677 FUR196677 GEN196677 GOJ196677 GYF196677 HIB196677 HRX196677 IBT196677 ILP196677 IVL196677 JFH196677 JPD196677 JYZ196677 KIV196677 KSR196677 LCN196677 LMJ196677 LWF196677 MGB196677 MPX196677 MZT196677 NJP196677 NTL196677 ODH196677 OND196677 OWZ196677 PGV196677 PQR196677 QAN196677 QKJ196677 QUF196677 REB196677 RNX196677 RXT196677 SHP196677 SRL196677 TBH196677 TLD196677 TUZ196677 UEV196677 UOR196677 UYN196677 VIJ196677 VSF196677 WCB196677 WLX196677 WVT196677 L262213 JH262213 TD262213 ACZ262213 AMV262213 AWR262213 BGN262213 BQJ262213 CAF262213 CKB262213 CTX262213 DDT262213 DNP262213 DXL262213 EHH262213 ERD262213 FAZ262213 FKV262213 FUR262213 GEN262213 GOJ262213 GYF262213 HIB262213 HRX262213 IBT262213 ILP262213 IVL262213 JFH262213 JPD262213 JYZ262213 KIV262213 KSR262213 LCN262213 LMJ262213 LWF262213 MGB262213 MPX262213 MZT262213 NJP262213 NTL262213 ODH262213 OND262213 OWZ262213 PGV262213 PQR262213 QAN262213 QKJ262213 QUF262213 REB262213 RNX262213 RXT262213 SHP262213 SRL262213 TBH262213 TLD262213 TUZ262213 UEV262213 UOR262213 UYN262213 VIJ262213 VSF262213 WCB262213 WLX262213 WVT262213 L327749 JH327749 TD327749 ACZ327749 AMV327749 AWR327749 BGN327749 BQJ327749 CAF327749 CKB327749 CTX327749 DDT327749 DNP327749 DXL327749 EHH327749 ERD327749 FAZ327749 FKV327749 FUR327749 GEN327749 GOJ327749 GYF327749 HIB327749 HRX327749 IBT327749 ILP327749 IVL327749 JFH327749 JPD327749 JYZ327749 KIV327749 KSR327749 LCN327749 LMJ327749 LWF327749 MGB327749 MPX327749 MZT327749 NJP327749 NTL327749 ODH327749 OND327749 OWZ327749 PGV327749 PQR327749 QAN327749 QKJ327749 QUF327749 REB327749 RNX327749 RXT327749 SHP327749 SRL327749 TBH327749 TLD327749 TUZ327749 UEV327749 UOR327749 UYN327749 VIJ327749 VSF327749 WCB327749 WLX327749 WVT327749 L393285 JH393285 TD393285 ACZ393285 AMV393285 AWR393285 BGN393285 BQJ393285 CAF393285 CKB393285 CTX393285 DDT393285 DNP393285 DXL393285 EHH393285 ERD393285 FAZ393285 FKV393285 FUR393285 GEN393285 GOJ393285 GYF393285 HIB393285 HRX393285 IBT393285 ILP393285 IVL393285 JFH393285 JPD393285 JYZ393285 KIV393285 KSR393285 LCN393285 LMJ393285 LWF393285 MGB393285 MPX393285 MZT393285 NJP393285 NTL393285 ODH393285 OND393285 OWZ393285 PGV393285 PQR393285 QAN393285 QKJ393285 QUF393285 REB393285 RNX393285 RXT393285 SHP393285 SRL393285 TBH393285 TLD393285 TUZ393285 UEV393285 UOR393285 UYN393285 VIJ393285 VSF393285 WCB393285 WLX393285 WVT393285 L458821 JH458821 TD458821 ACZ458821 AMV458821 AWR458821 BGN458821 BQJ458821 CAF458821 CKB458821 CTX458821 DDT458821 DNP458821 DXL458821 EHH458821 ERD458821 FAZ458821 FKV458821 FUR458821 GEN458821 GOJ458821 GYF458821 HIB458821 HRX458821 IBT458821 ILP458821 IVL458821 JFH458821 JPD458821 JYZ458821 KIV458821 KSR458821 LCN458821 LMJ458821 LWF458821 MGB458821 MPX458821 MZT458821 NJP458821 NTL458821 ODH458821 OND458821 OWZ458821 PGV458821 PQR458821 QAN458821 QKJ458821 QUF458821 REB458821 RNX458821 RXT458821 SHP458821 SRL458821 TBH458821 TLD458821 TUZ458821 UEV458821 UOR458821 UYN458821 VIJ458821 VSF458821 WCB458821 WLX458821 WVT458821 L524357 JH524357 TD524357 ACZ524357 AMV524357 AWR524357 BGN524357 BQJ524357 CAF524357 CKB524357 CTX524357 DDT524357 DNP524357 DXL524357 EHH524357 ERD524357 FAZ524357 FKV524357 FUR524357 GEN524357 GOJ524357 GYF524357 HIB524357 HRX524357 IBT524357 ILP524357 IVL524357 JFH524357 JPD524357 JYZ524357 KIV524357 KSR524357 LCN524357 LMJ524357 LWF524357 MGB524357 MPX524357 MZT524357 NJP524357 NTL524357 ODH524357 OND524357 OWZ524357 PGV524357 PQR524357 QAN524357 QKJ524357 QUF524357 REB524357 RNX524357 RXT524357 SHP524357 SRL524357 TBH524357 TLD524357 TUZ524357 UEV524357 UOR524357 UYN524357 VIJ524357 VSF524357 WCB524357 WLX524357 WVT524357 L589893 JH589893 TD589893 ACZ589893 AMV589893 AWR589893 BGN589893 BQJ589893 CAF589893 CKB589893 CTX589893 DDT589893 DNP589893 DXL589893 EHH589893 ERD589893 FAZ589893 FKV589893 FUR589893 GEN589893 GOJ589893 GYF589893 HIB589893 HRX589893 IBT589893 ILP589893 IVL589893 JFH589893 JPD589893 JYZ589893 KIV589893 KSR589893 LCN589893 LMJ589893 LWF589893 MGB589893 MPX589893 MZT589893 NJP589893 NTL589893 ODH589893 OND589893 OWZ589893 PGV589893 PQR589893 QAN589893 QKJ589893 QUF589893 REB589893 RNX589893 RXT589893 SHP589893 SRL589893 TBH589893 TLD589893 TUZ589893 UEV589893 UOR589893 UYN589893 VIJ589893 VSF589893 WCB589893 WLX589893 WVT589893 L655429 JH655429 TD655429 ACZ655429 AMV655429 AWR655429 BGN655429 BQJ655429 CAF655429 CKB655429 CTX655429 DDT655429 DNP655429 DXL655429 EHH655429 ERD655429 FAZ655429 FKV655429 FUR655429 GEN655429 GOJ655429 GYF655429 HIB655429 HRX655429 IBT655429 ILP655429 IVL655429 JFH655429 JPD655429 JYZ655429 KIV655429 KSR655429 LCN655429 LMJ655429 LWF655429 MGB655429 MPX655429 MZT655429 NJP655429 NTL655429 ODH655429 OND655429 OWZ655429 PGV655429 PQR655429 QAN655429 QKJ655429 QUF655429 REB655429 RNX655429 RXT655429 SHP655429 SRL655429 TBH655429 TLD655429 TUZ655429 UEV655429 UOR655429 UYN655429 VIJ655429 VSF655429 WCB655429 WLX655429 WVT655429 L720965 JH720965 TD720965 ACZ720965 AMV720965 AWR720965 BGN720965 BQJ720965 CAF720965 CKB720965 CTX720965 DDT720965 DNP720965 DXL720965 EHH720965 ERD720965 FAZ720965 FKV720965 FUR720965 GEN720965 GOJ720965 GYF720965 HIB720965 HRX720965 IBT720965 ILP720965 IVL720965 JFH720965 JPD720965 JYZ720965 KIV720965 KSR720965 LCN720965 LMJ720965 LWF720965 MGB720965 MPX720965 MZT720965 NJP720965 NTL720965 ODH720965 OND720965 OWZ720965 PGV720965 PQR720965 QAN720965 QKJ720965 QUF720965 REB720965 RNX720965 RXT720965 SHP720965 SRL720965 TBH720965 TLD720965 TUZ720965 UEV720965 UOR720965 UYN720965 VIJ720965 VSF720965 WCB720965 WLX720965 WVT720965 L786501 JH786501 TD786501 ACZ786501 AMV786501 AWR786501 BGN786501 BQJ786501 CAF786501 CKB786501 CTX786501 DDT786501 DNP786501 DXL786501 EHH786501 ERD786501 FAZ786501 FKV786501 FUR786501 GEN786501 GOJ786501 GYF786501 HIB786501 HRX786501 IBT786501 ILP786501 IVL786501 JFH786501 JPD786501 JYZ786501 KIV786501 KSR786501 LCN786501 LMJ786501 LWF786501 MGB786501 MPX786501 MZT786501 NJP786501 NTL786501 ODH786501 OND786501 OWZ786501 PGV786501 PQR786501 QAN786501 QKJ786501 QUF786501 REB786501 RNX786501 RXT786501 SHP786501 SRL786501 TBH786501 TLD786501 TUZ786501 UEV786501 UOR786501 UYN786501 VIJ786501 VSF786501 WCB786501 WLX786501 WVT786501 L852037 JH852037 TD852037 ACZ852037 AMV852037 AWR852037 BGN852037 BQJ852037 CAF852037 CKB852037 CTX852037 DDT852037 DNP852037 DXL852037 EHH852037 ERD852037 FAZ852037 FKV852037 FUR852037 GEN852037 GOJ852037 GYF852037 HIB852037 HRX852037 IBT852037 ILP852037 IVL852037 JFH852037 JPD852037 JYZ852037 KIV852037 KSR852037 LCN852037 LMJ852037 LWF852037 MGB852037 MPX852037 MZT852037 NJP852037 NTL852037 ODH852037 OND852037 OWZ852037 PGV852037 PQR852037 QAN852037 QKJ852037 QUF852037 REB852037 RNX852037 RXT852037 SHP852037 SRL852037 TBH852037 TLD852037 TUZ852037 UEV852037 UOR852037 UYN852037 VIJ852037 VSF852037 WCB852037 WLX852037 WVT852037 L917573 JH917573 TD917573 ACZ917573 AMV917573 AWR917573 BGN917573 BQJ917573 CAF917573 CKB917573 CTX917573 DDT917573 DNP917573 DXL917573 EHH917573 ERD917573 FAZ917573 FKV917573 FUR917573 GEN917573 GOJ917573 GYF917573 HIB917573 HRX917573 IBT917573 ILP917573 IVL917573 JFH917573 JPD917573 JYZ917573 KIV917573 KSR917573 LCN917573 LMJ917573 LWF917573 MGB917573 MPX917573 MZT917573 NJP917573 NTL917573 ODH917573 OND917573 OWZ917573 PGV917573 PQR917573 QAN917573 QKJ917573 QUF917573 REB917573 RNX917573 RXT917573 SHP917573 SRL917573 TBH917573 TLD917573 TUZ917573 UEV917573 UOR917573 UYN917573 VIJ917573 VSF917573 WCB917573 WLX917573 WVT917573 L983109 JH983109 TD983109 ACZ983109 AMV983109 AWR983109 BGN983109 BQJ983109 CAF983109 CKB983109 CTX983109 DDT983109 DNP983109 DXL983109 EHH983109 ERD983109 FAZ983109 FKV983109 FUR983109 GEN983109 GOJ983109 GYF983109 HIB983109 HRX983109 IBT983109 ILP983109 IVL983109 JFH983109 JPD983109 JYZ983109 KIV983109 KSR983109 LCN983109 LMJ983109 LWF983109 MGB983109 MPX983109 MZT983109 NJP983109 NTL983109 ODH983109 OND983109 OWZ983109 PGV983109 PQR983109 QAN983109 QKJ983109 QUF983109 REB983109 RNX983109 RXT983109 SHP983109 SRL983109 TBH983109 TLD983109 TUZ983109 UEV983109 UOR983109 UYN983109 VIJ983109 VSF983109 WCB983109 WLX983109 WVT983109" xr:uid="{00000000-0002-0000-0600-000000000000}">
      <formula1>$CF$74:$CF$75</formula1>
    </dataValidation>
    <dataValidation type="list" allowBlank="1" showInputMessage="1" showErrorMessage="1"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65462 JG65462 TC65462 ACY65462 AMU65462 AWQ65462 BGM65462 BQI65462 CAE65462 CKA65462 CTW65462 DDS65462 DNO65462 DXK65462 EHG65462 ERC65462 FAY65462 FKU65462 FUQ65462 GEM65462 GOI65462 GYE65462 HIA65462 HRW65462 IBS65462 ILO65462 IVK65462 JFG65462 JPC65462 JYY65462 KIU65462 KSQ65462 LCM65462 LMI65462 LWE65462 MGA65462 MPW65462 MZS65462 NJO65462 NTK65462 ODG65462 ONC65462 OWY65462 PGU65462 PQQ65462 QAM65462 QKI65462 QUE65462 REA65462 RNW65462 RXS65462 SHO65462 SRK65462 TBG65462 TLC65462 TUY65462 UEU65462 UOQ65462 UYM65462 VII65462 VSE65462 WCA65462 WLW65462 WVS65462 K130998 JG130998 TC130998 ACY130998 AMU130998 AWQ130998 BGM130998 BQI130998 CAE130998 CKA130998 CTW130998 DDS130998 DNO130998 DXK130998 EHG130998 ERC130998 FAY130998 FKU130998 FUQ130998 GEM130998 GOI130998 GYE130998 HIA130998 HRW130998 IBS130998 ILO130998 IVK130998 JFG130998 JPC130998 JYY130998 KIU130998 KSQ130998 LCM130998 LMI130998 LWE130998 MGA130998 MPW130998 MZS130998 NJO130998 NTK130998 ODG130998 ONC130998 OWY130998 PGU130998 PQQ130998 QAM130998 QKI130998 QUE130998 REA130998 RNW130998 RXS130998 SHO130998 SRK130998 TBG130998 TLC130998 TUY130998 UEU130998 UOQ130998 UYM130998 VII130998 VSE130998 WCA130998 WLW130998 WVS130998 K196534 JG196534 TC196534 ACY196534 AMU196534 AWQ196534 BGM196534 BQI196534 CAE196534 CKA196534 CTW196534 DDS196534 DNO196534 DXK196534 EHG196534 ERC196534 FAY196534 FKU196534 FUQ196534 GEM196534 GOI196534 GYE196534 HIA196534 HRW196534 IBS196534 ILO196534 IVK196534 JFG196534 JPC196534 JYY196534 KIU196534 KSQ196534 LCM196534 LMI196534 LWE196534 MGA196534 MPW196534 MZS196534 NJO196534 NTK196534 ODG196534 ONC196534 OWY196534 PGU196534 PQQ196534 QAM196534 QKI196534 QUE196534 REA196534 RNW196534 RXS196534 SHO196534 SRK196534 TBG196534 TLC196534 TUY196534 UEU196534 UOQ196534 UYM196534 VII196534 VSE196534 WCA196534 WLW196534 WVS196534 K262070 JG262070 TC262070 ACY262070 AMU262070 AWQ262070 BGM262070 BQI262070 CAE262070 CKA262070 CTW262070 DDS262070 DNO262070 DXK262070 EHG262070 ERC262070 FAY262070 FKU262070 FUQ262070 GEM262070 GOI262070 GYE262070 HIA262070 HRW262070 IBS262070 ILO262070 IVK262070 JFG262070 JPC262070 JYY262070 KIU262070 KSQ262070 LCM262070 LMI262070 LWE262070 MGA262070 MPW262070 MZS262070 NJO262070 NTK262070 ODG262070 ONC262070 OWY262070 PGU262070 PQQ262070 QAM262070 QKI262070 QUE262070 REA262070 RNW262070 RXS262070 SHO262070 SRK262070 TBG262070 TLC262070 TUY262070 UEU262070 UOQ262070 UYM262070 VII262070 VSE262070 WCA262070 WLW262070 WVS262070 K327606 JG327606 TC327606 ACY327606 AMU327606 AWQ327606 BGM327606 BQI327606 CAE327606 CKA327606 CTW327606 DDS327606 DNO327606 DXK327606 EHG327606 ERC327606 FAY327606 FKU327606 FUQ327606 GEM327606 GOI327606 GYE327606 HIA327606 HRW327606 IBS327606 ILO327606 IVK327606 JFG327606 JPC327606 JYY327606 KIU327606 KSQ327606 LCM327606 LMI327606 LWE327606 MGA327606 MPW327606 MZS327606 NJO327606 NTK327606 ODG327606 ONC327606 OWY327606 PGU327606 PQQ327606 QAM327606 QKI327606 QUE327606 REA327606 RNW327606 RXS327606 SHO327606 SRK327606 TBG327606 TLC327606 TUY327606 UEU327606 UOQ327606 UYM327606 VII327606 VSE327606 WCA327606 WLW327606 WVS327606 K393142 JG393142 TC393142 ACY393142 AMU393142 AWQ393142 BGM393142 BQI393142 CAE393142 CKA393142 CTW393142 DDS393142 DNO393142 DXK393142 EHG393142 ERC393142 FAY393142 FKU393142 FUQ393142 GEM393142 GOI393142 GYE393142 HIA393142 HRW393142 IBS393142 ILO393142 IVK393142 JFG393142 JPC393142 JYY393142 KIU393142 KSQ393142 LCM393142 LMI393142 LWE393142 MGA393142 MPW393142 MZS393142 NJO393142 NTK393142 ODG393142 ONC393142 OWY393142 PGU393142 PQQ393142 QAM393142 QKI393142 QUE393142 REA393142 RNW393142 RXS393142 SHO393142 SRK393142 TBG393142 TLC393142 TUY393142 UEU393142 UOQ393142 UYM393142 VII393142 VSE393142 WCA393142 WLW393142 WVS393142 K458678 JG458678 TC458678 ACY458678 AMU458678 AWQ458678 BGM458678 BQI458678 CAE458678 CKA458678 CTW458678 DDS458678 DNO458678 DXK458678 EHG458678 ERC458678 FAY458678 FKU458678 FUQ458678 GEM458678 GOI458678 GYE458678 HIA458678 HRW458678 IBS458678 ILO458678 IVK458678 JFG458678 JPC458678 JYY458678 KIU458678 KSQ458678 LCM458678 LMI458678 LWE458678 MGA458678 MPW458678 MZS458678 NJO458678 NTK458678 ODG458678 ONC458678 OWY458678 PGU458678 PQQ458678 QAM458678 QKI458678 QUE458678 REA458678 RNW458678 RXS458678 SHO458678 SRK458678 TBG458678 TLC458678 TUY458678 UEU458678 UOQ458678 UYM458678 VII458678 VSE458678 WCA458678 WLW458678 WVS458678 K524214 JG524214 TC524214 ACY524214 AMU524214 AWQ524214 BGM524214 BQI524214 CAE524214 CKA524214 CTW524214 DDS524214 DNO524214 DXK524214 EHG524214 ERC524214 FAY524214 FKU524214 FUQ524214 GEM524214 GOI524214 GYE524214 HIA524214 HRW524214 IBS524214 ILO524214 IVK524214 JFG524214 JPC524214 JYY524214 KIU524214 KSQ524214 LCM524214 LMI524214 LWE524214 MGA524214 MPW524214 MZS524214 NJO524214 NTK524214 ODG524214 ONC524214 OWY524214 PGU524214 PQQ524214 QAM524214 QKI524214 QUE524214 REA524214 RNW524214 RXS524214 SHO524214 SRK524214 TBG524214 TLC524214 TUY524214 UEU524214 UOQ524214 UYM524214 VII524214 VSE524214 WCA524214 WLW524214 WVS524214 K589750 JG589750 TC589750 ACY589750 AMU589750 AWQ589750 BGM589750 BQI589750 CAE589750 CKA589750 CTW589750 DDS589750 DNO589750 DXK589750 EHG589750 ERC589750 FAY589750 FKU589750 FUQ589750 GEM589750 GOI589750 GYE589750 HIA589750 HRW589750 IBS589750 ILO589750 IVK589750 JFG589750 JPC589750 JYY589750 KIU589750 KSQ589750 LCM589750 LMI589750 LWE589750 MGA589750 MPW589750 MZS589750 NJO589750 NTK589750 ODG589750 ONC589750 OWY589750 PGU589750 PQQ589750 QAM589750 QKI589750 QUE589750 REA589750 RNW589750 RXS589750 SHO589750 SRK589750 TBG589750 TLC589750 TUY589750 UEU589750 UOQ589750 UYM589750 VII589750 VSE589750 WCA589750 WLW589750 WVS589750 K655286 JG655286 TC655286 ACY655286 AMU655286 AWQ655286 BGM655286 BQI655286 CAE655286 CKA655286 CTW655286 DDS655286 DNO655286 DXK655286 EHG655286 ERC655286 FAY655286 FKU655286 FUQ655286 GEM655286 GOI655286 GYE655286 HIA655286 HRW655286 IBS655286 ILO655286 IVK655286 JFG655286 JPC655286 JYY655286 KIU655286 KSQ655286 LCM655286 LMI655286 LWE655286 MGA655286 MPW655286 MZS655286 NJO655286 NTK655286 ODG655286 ONC655286 OWY655286 PGU655286 PQQ655286 QAM655286 QKI655286 QUE655286 REA655286 RNW655286 RXS655286 SHO655286 SRK655286 TBG655286 TLC655286 TUY655286 UEU655286 UOQ655286 UYM655286 VII655286 VSE655286 WCA655286 WLW655286 WVS655286 K720822 JG720822 TC720822 ACY720822 AMU720822 AWQ720822 BGM720822 BQI720822 CAE720822 CKA720822 CTW720822 DDS720822 DNO720822 DXK720822 EHG720822 ERC720822 FAY720822 FKU720822 FUQ720822 GEM720822 GOI720822 GYE720822 HIA720822 HRW720822 IBS720822 ILO720822 IVK720822 JFG720822 JPC720822 JYY720822 KIU720822 KSQ720822 LCM720822 LMI720822 LWE720822 MGA720822 MPW720822 MZS720822 NJO720822 NTK720822 ODG720822 ONC720822 OWY720822 PGU720822 PQQ720822 QAM720822 QKI720822 QUE720822 REA720822 RNW720822 RXS720822 SHO720822 SRK720822 TBG720822 TLC720822 TUY720822 UEU720822 UOQ720822 UYM720822 VII720822 VSE720822 WCA720822 WLW720822 WVS720822 K786358 JG786358 TC786358 ACY786358 AMU786358 AWQ786358 BGM786358 BQI786358 CAE786358 CKA786358 CTW786358 DDS786358 DNO786358 DXK786358 EHG786358 ERC786358 FAY786358 FKU786358 FUQ786358 GEM786358 GOI786358 GYE786358 HIA786358 HRW786358 IBS786358 ILO786358 IVK786358 JFG786358 JPC786358 JYY786358 KIU786358 KSQ786358 LCM786358 LMI786358 LWE786358 MGA786358 MPW786358 MZS786358 NJO786358 NTK786358 ODG786358 ONC786358 OWY786358 PGU786358 PQQ786358 QAM786358 QKI786358 QUE786358 REA786358 RNW786358 RXS786358 SHO786358 SRK786358 TBG786358 TLC786358 TUY786358 UEU786358 UOQ786358 UYM786358 VII786358 VSE786358 WCA786358 WLW786358 WVS786358 K851894 JG851894 TC851894 ACY851894 AMU851894 AWQ851894 BGM851894 BQI851894 CAE851894 CKA851894 CTW851894 DDS851894 DNO851894 DXK851894 EHG851894 ERC851894 FAY851894 FKU851894 FUQ851894 GEM851894 GOI851894 GYE851894 HIA851894 HRW851894 IBS851894 ILO851894 IVK851894 JFG851894 JPC851894 JYY851894 KIU851894 KSQ851894 LCM851894 LMI851894 LWE851894 MGA851894 MPW851894 MZS851894 NJO851894 NTK851894 ODG851894 ONC851894 OWY851894 PGU851894 PQQ851894 QAM851894 QKI851894 QUE851894 REA851894 RNW851894 RXS851894 SHO851894 SRK851894 TBG851894 TLC851894 TUY851894 UEU851894 UOQ851894 UYM851894 VII851894 VSE851894 WCA851894 WLW851894 WVS851894 K917430 JG917430 TC917430 ACY917430 AMU917430 AWQ917430 BGM917430 BQI917430 CAE917430 CKA917430 CTW917430 DDS917430 DNO917430 DXK917430 EHG917430 ERC917430 FAY917430 FKU917430 FUQ917430 GEM917430 GOI917430 GYE917430 HIA917430 HRW917430 IBS917430 ILO917430 IVK917430 JFG917430 JPC917430 JYY917430 KIU917430 KSQ917430 LCM917430 LMI917430 LWE917430 MGA917430 MPW917430 MZS917430 NJO917430 NTK917430 ODG917430 ONC917430 OWY917430 PGU917430 PQQ917430 QAM917430 QKI917430 QUE917430 REA917430 RNW917430 RXS917430 SHO917430 SRK917430 TBG917430 TLC917430 TUY917430 UEU917430 UOQ917430 UYM917430 VII917430 VSE917430 WCA917430 WLW917430 WVS917430 K982966 JG982966 TC982966 ACY982966 AMU982966 AWQ982966 BGM982966 BQI982966 CAE982966 CKA982966 CTW982966 DDS982966 DNO982966 DXK982966 EHG982966 ERC982966 FAY982966 FKU982966 FUQ982966 GEM982966 GOI982966 GYE982966 HIA982966 HRW982966 IBS982966 ILO982966 IVK982966 JFG982966 JPC982966 JYY982966 KIU982966 KSQ982966 LCM982966 LMI982966 LWE982966 MGA982966 MPW982966 MZS982966 NJO982966 NTK982966 ODG982966 ONC982966 OWY982966 PGU982966 PQQ982966 QAM982966 QKI982966 QUE982966 REA982966 RNW982966 RXS982966 SHO982966 SRK982966 TBG982966 TLC982966 TUY982966 UEU982966 UOQ982966 UYM982966 VII982966 VSE982966 WCA982966 WLW982966 WVS982966" xr:uid="{00000000-0002-0000-0600-000001000000}">
      <formula1>$CF$68:$CF$72</formula1>
    </dataValidation>
  </dataValidations>
  <pageMargins left="0" right="0" top="0" bottom="0" header="0" footer="0"/>
  <pageSetup paperSize="9" scale="85" orientation="landscape" r:id="rId1"/>
  <headerFooter alignWithMargins="0"/>
  <colBreaks count="3" manualBreakCount="3">
    <brk id="12" max="42" man="1"/>
    <brk id="28" max="42" man="1"/>
    <brk id="83" max="42" man="1"/>
  </colBreaks>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7</vt:i4>
      </vt:variant>
      <vt:variant>
        <vt:lpstr>Именованные диапазоны</vt:lpstr>
      </vt:variant>
      <vt:variant>
        <vt:i4>1</vt:i4>
      </vt:variant>
    </vt:vector>
  </HeadingPairs>
  <TitlesOfParts>
    <vt:vector size="8" baseType="lpstr">
      <vt:lpstr>Техданные</vt:lpstr>
      <vt:lpstr>Расчет</vt:lpstr>
      <vt:lpstr>Оценка сетки</vt:lpstr>
      <vt:lpstr>Оценка лазера</vt:lpstr>
      <vt:lpstr>Оценка фрезеровки</vt:lpstr>
      <vt:lpstr>Прайс Лазер</vt:lpstr>
      <vt:lpstr>СПЕЦИФИКАЦИЯ ПРОЕКТА</vt:lpstr>
      <vt:lpstr>'СПЕЦИФИКАЦИЯ ПРОЕКТА'!Область_печати</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dc:creator>
  <cp:lastModifiedBy>Александр Еремеев</cp:lastModifiedBy>
  <dcterms:created xsi:type="dcterms:W3CDTF">2021-03-18T06:19:29Z</dcterms:created>
  <dcterms:modified xsi:type="dcterms:W3CDTF">2024-09-13T12:02:28Z</dcterms:modified>
</cp:coreProperties>
</file>