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luis\"/>
    </mc:Choice>
  </mc:AlternateContent>
  <xr:revisionPtr revIDLastSave="0" documentId="13_ncr:1_{A289F0E4-4E4D-46DA-AC65-6C48EBA59FA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Расчет" sheetId="1" r:id="rId1"/>
    <sheet name="Оценка сетки" sheetId="6" r:id="rId2"/>
    <sheet name="Оценка лазера" sheetId="2" r:id="rId3"/>
    <sheet name="Оценка фрезеровки" sheetId="4" r:id="rId4"/>
    <sheet name="Прайс Лазер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2" i="1" l="1"/>
  <c r="E255" i="1"/>
  <c r="F69" i="1"/>
  <c r="F133" i="1"/>
  <c r="F132" i="1"/>
  <c r="H75" i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H65" i="1"/>
  <c r="H38" i="1"/>
  <c r="H57" i="1" l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30" i="1"/>
  <c r="H29" i="1"/>
  <c r="H28" i="1"/>
  <c r="H27" i="1"/>
  <c r="Q33" i="5" l="1"/>
  <c r="T29" i="5"/>
  <c r="T28" i="5"/>
  <c r="T27" i="5"/>
  <c r="S29" i="5"/>
  <c r="S28" i="5"/>
  <c r="S27" i="5"/>
  <c r="R29" i="5"/>
  <c r="R28" i="5"/>
  <c r="R27" i="5"/>
  <c r="Q30" i="5"/>
  <c r="Q29" i="5"/>
  <c r="Q28" i="5"/>
  <c r="Q27" i="5"/>
  <c r="P33" i="5"/>
  <c r="P32" i="5"/>
  <c r="P31" i="5"/>
  <c r="P30" i="5"/>
  <c r="P29" i="5"/>
  <c r="P28" i="5"/>
  <c r="P27" i="5"/>
  <c r="O33" i="5"/>
  <c r="O32" i="5"/>
  <c r="O31" i="5"/>
  <c r="O30" i="5"/>
  <c r="O29" i="5"/>
  <c r="O28" i="5"/>
  <c r="O27" i="5"/>
  <c r="N33" i="5"/>
  <c r="N32" i="5"/>
  <c r="N31" i="5"/>
  <c r="N30" i="5"/>
  <c r="N29" i="5"/>
  <c r="N28" i="5"/>
  <c r="N27" i="5"/>
  <c r="M33" i="5"/>
  <c r="M32" i="5"/>
  <c r="M31" i="5"/>
  <c r="M30" i="5"/>
  <c r="M29" i="5"/>
  <c r="M28" i="5"/>
  <c r="M27" i="5"/>
  <c r="L33" i="5"/>
  <c r="L32" i="5"/>
  <c r="L31" i="5"/>
  <c r="L30" i="5"/>
  <c r="L29" i="5"/>
  <c r="L28" i="5"/>
  <c r="L27" i="5"/>
  <c r="K33" i="5"/>
  <c r="K32" i="5"/>
  <c r="K31" i="5"/>
  <c r="K30" i="5"/>
  <c r="K29" i="5"/>
  <c r="K28" i="5"/>
  <c r="K27" i="5"/>
  <c r="J32" i="5"/>
  <c r="J31" i="5"/>
  <c r="J29" i="5"/>
  <c r="J28" i="5"/>
  <c r="J27" i="5"/>
  <c r="J33" i="5"/>
  <c r="J30" i="5"/>
  <c r="I33" i="5"/>
  <c r="I32" i="5"/>
  <c r="I31" i="5"/>
  <c r="I30" i="5"/>
  <c r="I28" i="5"/>
  <c r="I29" i="5"/>
  <c r="I27" i="5"/>
  <c r="H33" i="5"/>
  <c r="H32" i="5"/>
  <c r="H31" i="5"/>
  <c r="H30" i="5"/>
  <c r="G33" i="5"/>
  <c r="G32" i="5"/>
  <c r="G31" i="5"/>
  <c r="H29" i="5"/>
  <c r="H28" i="5"/>
  <c r="H27" i="5"/>
  <c r="G30" i="5"/>
  <c r="G29" i="5"/>
  <c r="G28" i="5"/>
  <c r="G27" i="5"/>
  <c r="F33" i="5"/>
  <c r="F30" i="5"/>
  <c r="F29" i="5"/>
  <c r="F28" i="5"/>
  <c r="F27" i="5"/>
  <c r="E29" i="5"/>
  <c r="E28" i="5"/>
  <c r="E27" i="5"/>
  <c r="E32" i="5"/>
  <c r="E31" i="5"/>
  <c r="E30" i="5"/>
  <c r="E33" i="5"/>
  <c r="D33" i="5"/>
  <c r="C33" i="5"/>
  <c r="D30" i="5"/>
  <c r="C30" i="5"/>
  <c r="D27" i="5"/>
  <c r="D29" i="5"/>
  <c r="C29" i="5"/>
  <c r="D28" i="5"/>
  <c r="C28" i="5"/>
  <c r="C27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M425" i="1" l="1"/>
  <c r="M416" i="1"/>
  <c r="M407" i="1"/>
  <c r="M398" i="1"/>
  <c r="M389" i="1"/>
  <c r="M380" i="1"/>
  <c r="M371" i="1"/>
  <c r="M362" i="1"/>
  <c r="M353" i="1"/>
  <c r="M344" i="1"/>
  <c r="M335" i="1"/>
  <c r="M326" i="1"/>
  <c r="M317" i="1"/>
  <c r="M302" i="1"/>
  <c r="M293" i="1"/>
  <c r="M284" i="1"/>
  <c r="M273" i="1"/>
  <c r="M264" i="1"/>
  <c r="M255" i="1"/>
  <c r="M245" i="1"/>
  <c r="M236" i="1"/>
  <c r="M227" i="1"/>
  <c r="M218" i="1"/>
  <c r="M207" i="1"/>
  <c r="M198" i="1"/>
  <c r="M189" i="1"/>
  <c r="M180" i="1"/>
  <c r="M171" i="1"/>
  <c r="M162" i="1"/>
  <c r="M153" i="1"/>
  <c r="M144" i="1"/>
  <c r="M132" i="1"/>
  <c r="J79" i="1" l="1"/>
  <c r="L79" i="1" s="1"/>
  <c r="F144" i="1"/>
  <c r="G144" i="1" s="1"/>
  <c r="H144" i="1"/>
  <c r="I144" i="1" s="1"/>
  <c r="J144" i="1" s="1"/>
  <c r="F145" i="1"/>
  <c r="H145" i="1"/>
  <c r="F153" i="1"/>
  <c r="G153" i="1" s="1"/>
  <c r="H153" i="1"/>
  <c r="F154" i="1"/>
  <c r="G154" i="1" s="1"/>
  <c r="H154" i="1"/>
  <c r="F162" i="1"/>
  <c r="G162" i="1" s="1"/>
  <c r="H162" i="1"/>
  <c r="F163" i="1"/>
  <c r="H163" i="1"/>
  <c r="F171" i="1"/>
  <c r="G171" i="1" s="1"/>
  <c r="H171" i="1"/>
  <c r="F172" i="1"/>
  <c r="G172" i="1" s="1"/>
  <c r="H172" i="1"/>
  <c r="F180" i="1"/>
  <c r="G180" i="1" s="1"/>
  <c r="H180" i="1"/>
  <c r="F181" i="1"/>
  <c r="H181" i="1"/>
  <c r="F189" i="1"/>
  <c r="H189" i="1"/>
  <c r="F190" i="1"/>
  <c r="G190" i="1" s="1"/>
  <c r="H190" i="1"/>
  <c r="F198" i="1"/>
  <c r="G198" i="1" s="1"/>
  <c r="H198" i="1"/>
  <c r="F199" i="1"/>
  <c r="H199" i="1"/>
  <c r="F207" i="1"/>
  <c r="H207" i="1"/>
  <c r="F208" i="1"/>
  <c r="G208" i="1" s="1"/>
  <c r="H208" i="1"/>
  <c r="F218" i="1"/>
  <c r="G218" i="1" s="1"/>
  <c r="H218" i="1"/>
  <c r="F219" i="1"/>
  <c r="H219" i="1"/>
  <c r="F227" i="1"/>
  <c r="G227" i="1" s="1"/>
  <c r="H227" i="1"/>
  <c r="F228" i="1"/>
  <c r="G228" i="1" s="1"/>
  <c r="H228" i="1"/>
  <c r="F236" i="1"/>
  <c r="G236" i="1" s="1"/>
  <c r="H236" i="1"/>
  <c r="F237" i="1"/>
  <c r="H237" i="1"/>
  <c r="F245" i="1"/>
  <c r="H245" i="1"/>
  <c r="F246" i="1"/>
  <c r="G246" i="1" s="1"/>
  <c r="H246" i="1"/>
  <c r="F255" i="1"/>
  <c r="G255" i="1" s="1"/>
  <c r="H255" i="1"/>
  <c r="F256" i="1"/>
  <c r="H256" i="1"/>
  <c r="F264" i="1"/>
  <c r="G264" i="1" s="1"/>
  <c r="H264" i="1"/>
  <c r="F265" i="1"/>
  <c r="G265" i="1" s="1"/>
  <c r="H265" i="1"/>
  <c r="F273" i="1"/>
  <c r="H273" i="1"/>
  <c r="F274" i="1"/>
  <c r="H274" i="1"/>
  <c r="F284" i="1"/>
  <c r="H284" i="1"/>
  <c r="F285" i="1"/>
  <c r="G285" i="1" s="1"/>
  <c r="H285" i="1"/>
  <c r="F293" i="1"/>
  <c r="G293" i="1" s="1"/>
  <c r="H293" i="1"/>
  <c r="F294" i="1"/>
  <c r="H294" i="1"/>
  <c r="F302" i="1"/>
  <c r="G302" i="1" s="1"/>
  <c r="H302" i="1"/>
  <c r="F303" i="1"/>
  <c r="G303" i="1" s="1"/>
  <c r="H303" i="1"/>
  <c r="F317" i="1"/>
  <c r="G317" i="1" s="1"/>
  <c r="H317" i="1"/>
  <c r="F318" i="1"/>
  <c r="H318" i="1"/>
  <c r="F326" i="1"/>
  <c r="G326" i="1" s="1"/>
  <c r="H326" i="1"/>
  <c r="F327" i="1"/>
  <c r="G327" i="1" s="1"/>
  <c r="H327" i="1"/>
  <c r="F335" i="1"/>
  <c r="G335" i="1" s="1"/>
  <c r="H335" i="1"/>
  <c r="F336" i="1"/>
  <c r="H336" i="1"/>
  <c r="F344" i="1"/>
  <c r="H344" i="1"/>
  <c r="F345" i="1"/>
  <c r="G345" i="1" s="1"/>
  <c r="H345" i="1"/>
  <c r="F353" i="1"/>
  <c r="G353" i="1"/>
  <c r="H353" i="1"/>
  <c r="F354" i="1"/>
  <c r="H354" i="1"/>
  <c r="F362" i="1"/>
  <c r="H362" i="1"/>
  <c r="F363" i="1"/>
  <c r="G363" i="1" s="1"/>
  <c r="H363" i="1"/>
  <c r="F371" i="1"/>
  <c r="H371" i="1"/>
  <c r="F372" i="1"/>
  <c r="H372" i="1"/>
  <c r="F380" i="1"/>
  <c r="G380" i="1" s="1"/>
  <c r="H380" i="1"/>
  <c r="F381" i="1"/>
  <c r="G381" i="1" s="1"/>
  <c r="H381" i="1"/>
  <c r="F389" i="1"/>
  <c r="G389" i="1" s="1"/>
  <c r="H389" i="1"/>
  <c r="F390" i="1"/>
  <c r="H390" i="1"/>
  <c r="F398" i="1"/>
  <c r="H398" i="1"/>
  <c r="F399" i="1"/>
  <c r="G399" i="1" s="1"/>
  <c r="H399" i="1"/>
  <c r="F407" i="1"/>
  <c r="G407" i="1" s="1"/>
  <c r="H407" i="1"/>
  <c r="F408" i="1"/>
  <c r="H408" i="1"/>
  <c r="F416" i="1"/>
  <c r="G416" i="1" s="1"/>
  <c r="H416" i="1"/>
  <c r="F417" i="1"/>
  <c r="G417" i="1" s="1"/>
  <c r="H417" i="1"/>
  <c r="F425" i="1"/>
  <c r="G425" i="1" s="1"/>
  <c r="H425" i="1"/>
  <c r="F426" i="1"/>
  <c r="H426" i="1"/>
  <c r="I371" i="1" l="1"/>
  <c r="J371" i="1" s="1"/>
  <c r="I362" i="1"/>
  <c r="J362" i="1" s="1"/>
  <c r="I408" i="1"/>
  <c r="J408" i="1" s="1"/>
  <c r="I398" i="1"/>
  <c r="J398" i="1" s="1"/>
  <c r="G371" i="1"/>
  <c r="I285" i="1"/>
  <c r="J285" i="1" s="1"/>
  <c r="I256" i="1"/>
  <c r="J256" i="1" s="1"/>
  <c r="I284" i="1"/>
  <c r="J284" i="1" s="1"/>
  <c r="I273" i="1"/>
  <c r="J273" i="1" s="1"/>
  <c r="I265" i="1"/>
  <c r="J265" i="1" s="1"/>
  <c r="I207" i="1"/>
  <c r="J207" i="1" s="1"/>
  <c r="I189" i="1"/>
  <c r="J189" i="1" s="1"/>
  <c r="G207" i="1"/>
  <c r="K208" i="1" s="1"/>
  <c r="K172" i="1"/>
  <c r="I425" i="1"/>
  <c r="J425" i="1" s="1"/>
  <c r="I344" i="1"/>
  <c r="J344" i="1" s="1"/>
  <c r="G284" i="1"/>
  <c r="K285" i="1" s="1"/>
  <c r="I245" i="1"/>
  <c r="J245" i="1" s="1"/>
  <c r="I180" i="1"/>
  <c r="J180" i="1" s="1"/>
  <c r="I335" i="1"/>
  <c r="J335" i="1" s="1"/>
  <c r="K327" i="1"/>
  <c r="I218" i="1"/>
  <c r="J218" i="1" s="1"/>
  <c r="G362" i="1"/>
  <c r="K363" i="1" s="1"/>
  <c r="I426" i="1"/>
  <c r="J426" i="1" s="1"/>
  <c r="I416" i="1"/>
  <c r="J416" i="1" s="1"/>
  <c r="I353" i="1"/>
  <c r="J353" i="1" s="1"/>
  <c r="I336" i="1"/>
  <c r="I326" i="1"/>
  <c r="J326" i="1" s="1"/>
  <c r="I264" i="1"/>
  <c r="J264" i="1" s="1"/>
  <c r="I198" i="1"/>
  <c r="J198" i="1" s="1"/>
  <c r="I181" i="1"/>
  <c r="I171" i="1"/>
  <c r="J171" i="1" s="1"/>
  <c r="I293" i="1"/>
  <c r="J293" i="1" s="1"/>
  <c r="I407" i="1"/>
  <c r="J407" i="1" s="1"/>
  <c r="G398" i="1"/>
  <c r="K399" i="1" s="1"/>
  <c r="I363" i="1"/>
  <c r="J363" i="1" s="1"/>
  <c r="L363" i="1" s="1"/>
  <c r="I345" i="1"/>
  <c r="J345" i="1" s="1"/>
  <c r="G344" i="1"/>
  <c r="K345" i="1" s="1"/>
  <c r="G273" i="1"/>
  <c r="I255" i="1"/>
  <c r="G245" i="1"/>
  <c r="K246" i="1" s="1"/>
  <c r="I208" i="1"/>
  <c r="J208" i="1" s="1"/>
  <c r="I190" i="1"/>
  <c r="J190" i="1" s="1"/>
  <c r="G189" i="1"/>
  <c r="K190" i="1" s="1"/>
  <c r="I302" i="1"/>
  <c r="J302" i="1" s="1"/>
  <c r="I274" i="1"/>
  <c r="J274" i="1" s="1"/>
  <c r="L274" i="1" s="1"/>
  <c r="I227" i="1"/>
  <c r="J227" i="1" s="1"/>
  <c r="I153" i="1"/>
  <c r="J153" i="1" s="1"/>
  <c r="I317" i="1"/>
  <c r="I236" i="1"/>
  <c r="J236" i="1" s="1"/>
  <c r="I162" i="1"/>
  <c r="J162" i="1" s="1"/>
  <c r="I145" i="1"/>
  <c r="K417" i="1"/>
  <c r="I389" i="1"/>
  <c r="J389" i="1" s="1"/>
  <c r="I380" i="1"/>
  <c r="J380" i="1" s="1"/>
  <c r="I354" i="1"/>
  <c r="J354" i="1" s="1"/>
  <c r="I199" i="1"/>
  <c r="J199" i="1" s="1"/>
  <c r="I381" i="1"/>
  <c r="J381" i="1" s="1"/>
  <c r="I372" i="1"/>
  <c r="J372" i="1" s="1"/>
  <c r="L372" i="1" s="1"/>
  <c r="I303" i="1"/>
  <c r="J303" i="1" s="1"/>
  <c r="I294" i="1"/>
  <c r="J294" i="1" s="1"/>
  <c r="L294" i="1" s="1"/>
  <c r="I228" i="1"/>
  <c r="J228" i="1" s="1"/>
  <c r="I219" i="1"/>
  <c r="I154" i="1"/>
  <c r="J154" i="1" s="1"/>
  <c r="G426" i="1"/>
  <c r="K426" i="1" s="1"/>
  <c r="I417" i="1"/>
  <c r="G408" i="1"/>
  <c r="K408" i="1" s="1"/>
  <c r="I399" i="1"/>
  <c r="J399" i="1" s="1"/>
  <c r="I390" i="1"/>
  <c r="J390" i="1" s="1"/>
  <c r="I327" i="1"/>
  <c r="J327" i="1" s="1"/>
  <c r="I318" i="1"/>
  <c r="J318" i="1" s="1"/>
  <c r="I246" i="1"/>
  <c r="J246" i="1" s="1"/>
  <c r="I237" i="1"/>
  <c r="J237" i="1" s="1"/>
  <c r="I172" i="1"/>
  <c r="J172" i="1" s="1"/>
  <c r="I163" i="1"/>
  <c r="L408" i="1"/>
  <c r="K265" i="1"/>
  <c r="K381" i="1"/>
  <c r="K228" i="1"/>
  <c r="K303" i="1"/>
  <c r="K154" i="1"/>
  <c r="G390" i="1"/>
  <c r="K390" i="1" s="1"/>
  <c r="G372" i="1"/>
  <c r="K372" i="1" s="1"/>
  <c r="G354" i="1"/>
  <c r="K354" i="1" s="1"/>
  <c r="G336" i="1"/>
  <c r="K336" i="1" s="1"/>
  <c r="G318" i="1"/>
  <c r="K318" i="1" s="1"/>
  <c r="G294" i="1"/>
  <c r="K294" i="1" s="1"/>
  <c r="G274" i="1"/>
  <c r="G256" i="1"/>
  <c r="K256" i="1" s="1"/>
  <c r="G237" i="1"/>
  <c r="K237" i="1" s="1"/>
  <c r="G219" i="1"/>
  <c r="K219" i="1" s="1"/>
  <c r="G199" i="1"/>
  <c r="K199" i="1" s="1"/>
  <c r="G181" i="1"/>
  <c r="K181" i="1" s="1"/>
  <c r="G163" i="1"/>
  <c r="K163" i="1" s="1"/>
  <c r="G145" i="1"/>
  <c r="K145" i="1" s="1"/>
  <c r="L345" i="1" l="1"/>
  <c r="L426" i="1"/>
  <c r="K274" i="1"/>
  <c r="L285" i="1"/>
  <c r="L208" i="1"/>
  <c r="L190" i="1"/>
  <c r="L265" i="1"/>
  <c r="J255" i="1"/>
  <c r="L256" i="1" s="1"/>
  <c r="J317" i="1"/>
  <c r="L318" i="1" s="1"/>
  <c r="J163" i="1"/>
  <c r="L163" i="1" s="1"/>
  <c r="J219" i="1"/>
  <c r="L219" i="1" s="1"/>
  <c r="J145" i="1"/>
  <c r="L145" i="1" s="1"/>
  <c r="J181" i="1"/>
  <c r="L181" i="1" s="1"/>
  <c r="J336" i="1"/>
  <c r="L336" i="1" s="1"/>
  <c r="J417" i="1"/>
  <c r="L417" i="1" s="1"/>
  <c r="L246" i="1"/>
  <c r="L399" i="1"/>
  <c r="L354" i="1"/>
  <c r="L303" i="1"/>
  <c r="L172" i="1"/>
  <c r="L327" i="1"/>
  <c r="L199" i="1"/>
  <c r="L381" i="1"/>
  <c r="L154" i="1"/>
  <c r="L390" i="1"/>
  <c r="L228" i="1"/>
  <c r="L237" i="1"/>
  <c r="H133" i="1"/>
  <c r="I133" i="1" l="1"/>
  <c r="H132" i="1" l="1"/>
  <c r="I132" i="1" s="1"/>
  <c r="J132" i="1" s="1"/>
  <c r="F2" i="4" l="1"/>
  <c r="N2" i="4" s="1"/>
  <c r="F3" i="4"/>
  <c r="N3" i="4" s="1"/>
  <c r="F4" i="4"/>
  <c r="N4" i="4" s="1"/>
  <c r="F5" i="4"/>
  <c r="N5" i="4" s="1"/>
  <c r="F6" i="4"/>
  <c r="F7" i="4"/>
  <c r="F8" i="4"/>
  <c r="F9" i="4"/>
  <c r="N9" i="4" s="1"/>
  <c r="F10" i="4"/>
  <c r="F11" i="4"/>
  <c r="F12" i="4"/>
  <c r="F13" i="4"/>
  <c r="N13" i="4" s="1"/>
  <c r="F14" i="4"/>
  <c r="F15" i="4"/>
  <c r="N15" i="4" s="1"/>
  <c r="F16" i="4"/>
  <c r="F17" i="4"/>
  <c r="N17" i="4" s="1"/>
  <c r="F18" i="4"/>
  <c r="F19" i="4"/>
  <c r="N19" i="4" s="1"/>
  <c r="F20" i="4"/>
  <c r="F21" i="4"/>
  <c r="N21" i="4" s="1"/>
  <c r="F22" i="4"/>
  <c r="F23" i="4"/>
  <c r="F24" i="4"/>
  <c r="F25" i="4"/>
  <c r="N25" i="4" s="1"/>
  <c r="F26" i="4"/>
  <c r="F27" i="4"/>
  <c r="F28" i="4"/>
  <c r="F29" i="4"/>
  <c r="F30" i="4"/>
  <c r="F31" i="4"/>
  <c r="F32" i="4"/>
  <c r="F33" i="4"/>
  <c r="N33" i="4" s="1"/>
  <c r="F34" i="4"/>
  <c r="F35" i="4"/>
  <c r="F36" i="4"/>
  <c r="F37" i="4"/>
  <c r="N37" i="4" s="1"/>
  <c r="F38" i="4"/>
  <c r="F39" i="4"/>
  <c r="N39" i="4" s="1"/>
  <c r="F40" i="4"/>
  <c r="F41" i="4"/>
  <c r="N41" i="4" s="1"/>
  <c r="F42" i="4"/>
  <c r="F43" i="4"/>
  <c r="N43" i="4" s="1"/>
  <c r="F44" i="4"/>
  <c r="F45" i="4"/>
  <c r="N45" i="4" s="1"/>
  <c r="F46" i="4"/>
  <c r="F47" i="4"/>
  <c r="N47" i="4" s="1"/>
  <c r="F48" i="4"/>
  <c r="F49" i="4"/>
  <c r="N49" i="4" s="1"/>
  <c r="F50" i="4"/>
  <c r="F51" i="4"/>
  <c r="N51" i="4" s="1"/>
  <c r="N8" i="4"/>
  <c r="N16" i="4"/>
  <c r="N24" i="4"/>
  <c r="N32" i="4"/>
  <c r="N40" i="4"/>
  <c r="N48" i="4"/>
  <c r="N6" i="4"/>
  <c r="N7" i="4"/>
  <c r="N10" i="4"/>
  <c r="N11" i="4"/>
  <c r="N12" i="4"/>
  <c r="N14" i="4"/>
  <c r="N18" i="4"/>
  <c r="N20" i="4"/>
  <c r="N22" i="4"/>
  <c r="N23" i="4"/>
  <c r="N26" i="4"/>
  <c r="N27" i="4"/>
  <c r="N28" i="4"/>
  <c r="N29" i="4"/>
  <c r="N30" i="4"/>
  <c r="N31" i="4"/>
  <c r="N34" i="4"/>
  <c r="N35" i="4"/>
  <c r="N36" i="4"/>
  <c r="N38" i="4"/>
  <c r="N42" i="4"/>
  <c r="N44" i="4"/>
  <c r="N46" i="4"/>
  <c r="N50" i="4"/>
  <c r="B19" i="6" l="1"/>
  <c r="K43" i="6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R18" i="2" l="1"/>
  <c r="S18" i="2"/>
  <c r="Q18" i="2"/>
  <c r="R17" i="2"/>
  <c r="S17" i="2"/>
  <c r="Q17" i="2"/>
  <c r="R16" i="2"/>
  <c r="Q16" i="2"/>
  <c r="R15" i="2"/>
  <c r="S15" i="2"/>
  <c r="Q15" i="2"/>
  <c r="R14" i="2"/>
  <c r="S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S6" i="2" l="1"/>
  <c r="T6" i="2" s="1"/>
  <c r="U6" i="2" s="1"/>
  <c r="V6" i="2" s="1"/>
  <c r="S5" i="2"/>
  <c r="T5" i="2" s="1"/>
  <c r="U5" i="2" s="1"/>
  <c r="V5" i="2" s="1"/>
  <c r="S8" i="2"/>
  <c r="T8" i="2" s="1"/>
  <c r="U8" i="2" s="1"/>
  <c r="V8" i="2" s="1"/>
  <c r="T14" i="2"/>
  <c r="U14" i="2" s="1"/>
  <c r="V14" i="2" s="1"/>
  <c r="S10" i="2"/>
  <c r="T10" i="2" s="1"/>
  <c r="U10" i="2" s="1"/>
  <c r="V10" i="2" s="1"/>
  <c r="S7" i="2"/>
  <c r="T7" i="2" s="1"/>
  <c r="U7" i="2" s="1"/>
  <c r="V7" i="2" s="1"/>
  <c r="S13" i="2"/>
  <c r="T13" i="2" s="1"/>
  <c r="U13" i="2" s="1"/>
  <c r="V13" i="2" s="1"/>
  <c r="T15" i="2"/>
  <c r="U15" i="2" s="1"/>
  <c r="V15" i="2" s="1"/>
  <c r="S4" i="2"/>
  <c r="T4" i="2" s="1"/>
  <c r="U4" i="2" s="1"/>
  <c r="V4" i="2" s="1"/>
  <c r="S9" i="2"/>
  <c r="T9" i="2" s="1"/>
  <c r="U9" i="2" s="1"/>
  <c r="V9" i="2" s="1"/>
  <c r="S11" i="2"/>
  <c r="T11" i="2" s="1"/>
  <c r="U11" i="2" s="1"/>
  <c r="V11" i="2" s="1"/>
  <c r="S16" i="2"/>
  <c r="T16" i="2" s="1"/>
  <c r="U16" i="2" s="1"/>
  <c r="V16" i="2" s="1"/>
  <c r="T18" i="2"/>
  <c r="U18" i="2" s="1"/>
  <c r="V18" i="2" s="1"/>
  <c r="S3" i="2"/>
  <c r="T3" i="2" s="1"/>
  <c r="U3" i="2" s="1"/>
  <c r="V3" i="2" s="1"/>
  <c r="S12" i="2"/>
  <c r="T12" i="2" s="1"/>
  <c r="U12" i="2" s="1"/>
  <c r="V12" i="2" s="1"/>
  <c r="T17" i="2"/>
  <c r="U17" i="2" s="1"/>
  <c r="V17" i="2" s="1"/>
  <c r="D19" i="6"/>
  <c r="D14" i="6"/>
  <c r="F14" i="6" s="1"/>
  <c r="F9" i="6"/>
  <c r="J9" i="6" s="1"/>
  <c r="G19" i="6" l="1"/>
  <c r="I19" i="6" s="1"/>
  <c r="O3" i="1"/>
  <c r="N3" i="1"/>
  <c r="F124" i="1"/>
  <c r="F111" i="1"/>
  <c r="N10" i="1" s="1"/>
  <c r="B124" i="1"/>
  <c r="F106" i="1"/>
  <c r="N9" i="1" s="1"/>
  <c r="F86" i="1" l="1"/>
  <c r="N5" i="1" s="1"/>
  <c r="F89" i="1"/>
  <c r="N6" i="1" s="1"/>
  <c r="F98" i="1"/>
  <c r="N8" i="1" s="1"/>
  <c r="F92" i="1"/>
  <c r="N7" i="1" s="1"/>
  <c r="B111" i="1"/>
  <c r="M10" i="1" s="1"/>
  <c r="B106" i="1"/>
  <c r="M9" i="1" s="1"/>
  <c r="B98" i="1" l="1"/>
  <c r="M8" i="1" s="1"/>
  <c r="B92" i="1"/>
  <c r="M7" i="1" s="1"/>
  <c r="B89" i="1"/>
  <c r="M6" i="1" s="1"/>
  <c r="B86" i="1"/>
  <c r="M5" i="1" s="1"/>
  <c r="J133" i="1" l="1"/>
  <c r="H76" i="1" s="1"/>
  <c r="G133" i="1"/>
  <c r="K133" i="1" s="1"/>
  <c r="L133" i="1" l="1"/>
  <c r="K145" i="6" l="1"/>
  <c r="K111" i="6"/>
  <c r="K94" i="6"/>
  <c r="K77" i="6"/>
  <c r="K60" i="6"/>
  <c r="K26" i="6"/>
  <c r="J158" i="6" l="1"/>
  <c r="G124" i="1"/>
  <c r="D150" i="6" l="1"/>
  <c r="F150" i="6" s="1"/>
  <c r="D133" i="6"/>
  <c r="F133" i="6" s="1"/>
  <c r="D116" i="6"/>
  <c r="F116" i="6" s="1"/>
  <c r="D99" i="6"/>
  <c r="F99" i="6" s="1"/>
  <c r="D82" i="6"/>
  <c r="F82" i="6" s="1"/>
  <c r="D65" i="6"/>
  <c r="F65" i="6" s="1"/>
  <c r="D48" i="6"/>
  <c r="F48" i="6" s="1"/>
  <c r="D31" i="6"/>
  <c r="F31" i="6" s="1"/>
  <c r="L38" i="4" l="1"/>
  <c r="L2" i="4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B155" i="6" l="1"/>
  <c r="D155" i="6" s="1"/>
  <c r="F145" i="6"/>
  <c r="B138" i="6"/>
  <c r="D138" i="6" s="1"/>
  <c r="F128" i="6"/>
  <c r="B121" i="6"/>
  <c r="D121" i="6" s="1"/>
  <c r="F111" i="6"/>
  <c r="B104" i="6"/>
  <c r="D104" i="6" s="1"/>
  <c r="F94" i="6"/>
  <c r="B87" i="6"/>
  <c r="D87" i="6" s="1"/>
  <c r="F77" i="6"/>
  <c r="B70" i="6"/>
  <c r="D70" i="6" s="1"/>
  <c r="F60" i="6"/>
  <c r="B53" i="6"/>
  <c r="D53" i="6" s="1"/>
  <c r="F43" i="6"/>
  <c r="J43" i="6" s="1"/>
  <c r="B36" i="6"/>
  <c r="D36" i="6" s="1"/>
  <c r="F26" i="6"/>
  <c r="J26" i="6" s="1"/>
  <c r="G36" i="6" l="1"/>
  <c r="I36" i="6" s="1"/>
  <c r="G155" i="6"/>
  <c r="I155" i="6" s="1"/>
  <c r="G138" i="6"/>
  <c r="I138" i="6" s="1"/>
  <c r="G121" i="6"/>
  <c r="I121" i="6" s="1"/>
  <c r="G104" i="6"/>
  <c r="I104" i="6" s="1"/>
  <c r="G87" i="6"/>
  <c r="I87" i="6" s="1"/>
  <c r="G70" i="6"/>
  <c r="I70" i="6" s="1"/>
  <c r="G53" i="6"/>
  <c r="I53" i="6" s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N52" i="4" l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L52" i="4" l="1"/>
  <c r="H26" i="1" s="1"/>
  <c r="M52" i="4"/>
  <c r="R19" i="2" l="1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S21" i="2"/>
  <c r="S25" i="2"/>
  <c r="S29" i="2"/>
  <c r="S33" i="2"/>
  <c r="S37" i="2"/>
  <c r="S41" i="2"/>
  <c r="S45" i="2"/>
  <c r="S49" i="2"/>
  <c r="S53" i="2"/>
  <c r="S57" i="2"/>
  <c r="S61" i="2"/>
  <c r="S65" i="2"/>
  <c r="S69" i="2"/>
  <c r="S73" i="2"/>
  <c r="S77" i="2"/>
  <c r="S81" i="2"/>
  <c r="S85" i="2"/>
  <c r="S89" i="2"/>
  <c r="S93" i="2"/>
  <c r="S97" i="2"/>
  <c r="S101" i="2"/>
  <c r="S105" i="2"/>
  <c r="S109" i="2"/>
  <c r="S113" i="2"/>
  <c r="S117" i="2"/>
  <c r="S121" i="2"/>
  <c r="S125" i="2"/>
  <c r="S129" i="2"/>
  <c r="S133" i="2"/>
  <c r="S137" i="2"/>
  <c r="S141" i="2"/>
  <c r="S145" i="2"/>
  <c r="S149" i="2"/>
  <c r="S153" i="2"/>
  <c r="S157" i="2"/>
  <c r="S161" i="2"/>
  <c r="S165" i="2"/>
  <c r="S169" i="2"/>
  <c r="S173" i="2"/>
  <c r="S177" i="2"/>
  <c r="S181" i="2"/>
  <c r="S185" i="2"/>
  <c r="S189" i="2"/>
  <c r="S193" i="2"/>
  <c r="S197" i="2"/>
  <c r="S201" i="2"/>
  <c r="S205" i="2"/>
  <c r="S209" i="2"/>
  <c r="S213" i="2"/>
  <c r="S217" i="2"/>
  <c r="S221" i="2"/>
  <c r="S225" i="2"/>
  <c r="S229" i="2"/>
  <c r="S233" i="2"/>
  <c r="S237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S234" i="2" l="1"/>
  <c r="S230" i="2"/>
  <c r="T230" i="2" s="1"/>
  <c r="U230" i="2" s="1"/>
  <c r="V230" i="2" s="1"/>
  <c r="S226" i="2"/>
  <c r="T226" i="2" s="1"/>
  <c r="U226" i="2" s="1"/>
  <c r="V226" i="2" s="1"/>
  <c r="S222" i="2"/>
  <c r="T222" i="2" s="1"/>
  <c r="U222" i="2" s="1"/>
  <c r="V222" i="2" s="1"/>
  <c r="S218" i="2"/>
  <c r="S214" i="2"/>
  <c r="T214" i="2" s="1"/>
  <c r="U214" i="2" s="1"/>
  <c r="V214" i="2" s="1"/>
  <c r="S210" i="2"/>
  <c r="T210" i="2" s="1"/>
  <c r="U210" i="2" s="1"/>
  <c r="V210" i="2" s="1"/>
  <c r="S206" i="2"/>
  <c r="T206" i="2" s="1"/>
  <c r="U206" i="2" s="1"/>
  <c r="V206" i="2" s="1"/>
  <c r="S202" i="2"/>
  <c r="T202" i="2" s="1"/>
  <c r="U202" i="2" s="1"/>
  <c r="V202" i="2" s="1"/>
  <c r="S198" i="2"/>
  <c r="T198" i="2" s="1"/>
  <c r="U198" i="2" s="1"/>
  <c r="V198" i="2" s="1"/>
  <c r="S194" i="2"/>
  <c r="T194" i="2" s="1"/>
  <c r="U194" i="2" s="1"/>
  <c r="V194" i="2" s="1"/>
  <c r="S190" i="2"/>
  <c r="T190" i="2" s="1"/>
  <c r="U190" i="2" s="1"/>
  <c r="V190" i="2" s="1"/>
  <c r="S186" i="2"/>
  <c r="T186" i="2" s="1"/>
  <c r="U186" i="2" s="1"/>
  <c r="V186" i="2" s="1"/>
  <c r="S182" i="2"/>
  <c r="T182" i="2" s="1"/>
  <c r="U182" i="2" s="1"/>
  <c r="V182" i="2" s="1"/>
  <c r="S178" i="2"/>
  <c r="T178" i="2" s="1"/>
  <c r="U178" i="2" s="1"/>
  <c r="V178" i="2" s="1"/>
  <c r="S174" i="2"/>
  <c r="T174" i="2" s="1"/>
  <c r="U174" i="2" s="1"/>
  <c r="V174" i="2" s="1"/>
  <c r="S170" i="2"/>
  <c r="S166" i="2"/>
  <c r="T166" i="2" s="1"/>
  <c r="U166" i="2" s="1"/>
  <c r="V166" i="2" s="1"/>
  <c r="S162" i="2"/>
  <c r="T162" i="2" s="1"/>
  <c r="U162" i="2" s="1"/>
  <c r="V162" i="2" s="1"/>
  <c r="S158" i="2"/>
  <c r="T158" i="2" s="1"/>
  <c r="U158" i="2" s="1"/>
  <c r="V158" i="2" s="1"/>
  <c r="S154" i="2"/>
  <c r="T154" i="2" s="1"/>
  <c r="U154" i="2" s="1"/>
  <c r="V154" i="2" s="1"/>
  <c r="S150" i="2"/>
  <c r="T150" i="2" s="1"/>
  <c r="U150" i="2" s="1"/>
  <c r="V150" i="2" s="1"/>
  <c r="S146" i="2"/>
  <c r="T146" i="2" s="1"/>
  <c r="U146" i="2" s="1"/>
  <c r="V146" i="2" s="1"/>
  <c r="S142" i="2"/>
  <c r="T142" i="2" s="1"/>
  <c r="U142" i="2" s="1"/>
  <c r="V142" i="2" s="1"/>
  <c r="S138" i="2"/>
  <c r="S134" i="2"/>
  <c r="T134" i="2" s="1"/>
  <c r="U134" i="2" s="1"/>
  <c r="V134" i="2" s="1"/>
  <c r="S130" i="2"/>
  <c r="T130" i="2" s="1"/>
  <c r="U130" i="2" s="1"/>
  <c r="V130" i="2" s="1"/>
  <c r="S126" i="2"/>
  <c r="T126" i="2" s="1"/>
  <c r="U126" i="2" s="1"/>
  <c r="V126" i="2" s="1"/>
  <c r="S122" i="2"/>
  <c r="T122" i="2" s="1"/>
  <c r="U122" i="2" s="1"/>
  <c r="V122" i="2" s="1"/>
  <c r="S118" i="2"/>
  <c r="T118" i="2" s="1"/>
  <c r="U118" i="2" s="1"/>
  <c r="V118" i="2" s="1"/>
  <c r="S114" i="2"/>
  <c r="T114" i="2" s="1"/>
  <c r="U114" i="2" s="1"/>
  <c r="V114" i="2" s="1"/>
  <c r="S110" i="2"/>
  <c r="T110" i="2" s="1"/>
  <c r="U110" i="2" s="1"/>
  <c r="V110" i="2" s="1"/>
  <c r="S106" i="2"/>
  <c r="T106" i="2" s="1"/>
  <c r="U106" i="2" s="1"/>
  <c r="V106" i="2" s="1"/>
  <c r="S102" i="2"/>
  <c r="T102" i="2" s="1"/>
  <c r="U102" i="2" s="1"/>
  <c r="V102" i="2" s="1"/>
  <c r="S98" i="2"/>
  <c r="T98" i="2" s="1"/>
  <c r="U98" i="2" s="1"/>
  <c r="V98" i="2" s="1"/>
  <c r="S94" i="2"/>
  <c r="T94" i="2" s="1"/>
  <c r="U94" i="2" s="1"/>
  <c r="V94" i="2" s="1"/>
  <c r="S90" i="2"/>
  <c r="S86" i="2"/>
  <c r="T86" i="2" s="1"/>
  <c r="U86" i="2" s="1"/>
  <c r="V86" i="2" s="1"/>
  <c r="S82" i="2"/>
  <c r="T82" i="2" s="1"/>
  <c r="U82" i="2" s="1"/>
  <c r="V82" i="2" s="1"/>
  <c r="S78" i="2"/>
  <c r="T78" i="2" s="1"/>
  <c r="U78" i="2" s="1"/>
  <c r="V78" i="2" s="1"/>
  <c r="S74" i="2"/>
  <c r="T74" i="2" s="1"/>
  <c r="U74" i="2" s="1"/>
  <c r="V74" i="2" s="1"/>
  <c r="S70" i="2"/>
  <c r="T70" i="2" s="1"/>
  <c r="U70" i="2" s="1"/>
  <c r="V70" i="2" s="1"/>
  <c r="S66" i="2"/>
  <c r="T66" i="2" s="1"/>
  <c r="U66" i="2" s="1"/>
  <c r="V66" i="2" s="1"/>
  <c r="S62" i="2"/>
  <c r="T62" i="2" s="1"/>
  <c r="U62" i="2" s="1"/>
  <c r="V62" i="2" s="1"/>
  <c r="S58" i="2"/>
  <c r="S54" i="2"/>
  <c r="T54" i="2" s="1"/>
  <c r="U54" i="2" s="1"/>
  <c r="V54" i="2" s="1"/>
  <c r="S50" i="2"/>
  <c r="T50" i="2" s="1"/>
  <c r="U50" i="2" s="1"/>
  <c r="V50" i="2" s="1"/>
  <c r="S46" i="2"/>
  <c r="T46" i="2" s="1"/>
  <c r="U46" i="2" s="1"/>
  <c r="V46" i="2" s="1"/>
  <c r="S42" i="2"/>
  <c r="T42" i="2" s="1"/>
  <c r="U42" i="2" s="1"/>
  <c r="V42" i="2" s="1"/>
  <c r="S38" i="2"/>
  <c r="T38" i="2" s="1"/>
  <c r="U38" i="2" s="1"/>
  <c r="V38" i="2" s="1"/>
  <c r="S34" i="2"/>
  <c r="T34" i="2" s="1"/>
  <c r="U34" i="2" s="1"/>
  <c r="V34" i="2" s="1"/>
  <c r="S30" i="2"/>
  <c r="T30" i="2" s="1"/>
  <c r="U30" i="2" s="1"/>
  <c r="V30" i="2" s="1"/>
  <c r="S26" i="2"/>
  <c r="T26" i="2" s="1"/>
  <c r="U26" i="2" s="1"/>
  <c r="V26" i="2" s="1"/>
  <c r="S22" i="2"/>
  <c r="T22" i="2" s="1"/>
  <c r="U22" i="2" s="1"/>
  <c r="V22" i="2" s="1"/>
  <c r="S235" i="2"/>
  <c r="T235" i="2" s="1"/>
  <c r="U235" i="2" s="1"/>
  <c r="V235" i="2" s="1"/>
  <c r="S231" i="2"/>
  <c r="T231" i="2" s="1"/>
  <c r="U231" i="2" s="1"/>
  <c r="V231" i="2" s="1"/>
  <c r="S227" i="2"/>
  <c r="T227" i="2" s="1"/>
  <c r="U227" i="2" s="1"/>
  <c r="V227" i="2" s="1"/>
  <c r="S223" i="2"/>
  <c r="T223" i="2" s="1"/>
  <c r="U223" i="2" s="1"/>
  <c r="V223" i="2" s="1"/>
  <c r="S219" i="2"/>
  <c r="T219" i="2" s="1"/>
  <c r="U219" i="2" s="1"/>
  <c r="V219" i="2" s="1"/>
  <c r="S215" i="2"/>
  <c r="T215" i="2" s="1"/>
  <c r="U215" i="2" s="1"/>
  <c r="V215" i="2" s="1"/>
  <c r="S211" i="2"/>
  <c r="T211" i="2" s="1"/>
  <c r="U211" i="2" s="1"/>
  <c r="V211" i="2" s="1"/>
  <c r="S207" i="2"/>
  <c r="T207" i="2" s="1"/>
  <c r="U207" i="2" s="1"/>
  <c r="V207" i="2" s="1"/>
  <c r="S203" i="2"/>
  <c r="T203" i="2" s="1"/>
  <c r="U203" i="2" s="1"/>
  <c r="V203" i="2" s="1"/>
  <c r="S199" i="2"/>
  <c r="T199" i="2" s="1"/>
  <c r="U199" i="2" s="1"/>
  <c r="V199" i="2" s="1"/>
  <c r="S195" i="2"/>
  <c r="T195" i="2" s="1"/>
  <c r="U195" i="2" s="1"/>
  <c r="V195" i="2" s="1"/>
  <c r="S191" i="2"/>
  <c r="T191" i="2" s="1"/>
  <c r="U191" i="2" s="1"/>
  <c r="V191" i="2" s="1"/>
  <c r="S187" i="2"/>
  <c r="T187" i="2" s="1"/>
  <c r="U187" i="2" s="1"/>
  <c r="V187" i="2" s="1"/>
  <c r="S183" i="2"/>
  <c r="T183" i="2" s="1"/>
  <c r="U183" i="2" s="1"/>
  <c r="V183" i="2" s="1"/>
  <c r="S179" i="2"/>
  <c r="T179" i="2" s="1"/>
  <c r="U179" i="2" s="1"/>
  <c r="V179" i="2" s="1"/>
  <c r="S175" i="2"/>
  <c r="T175" i="2" s="1"/>
  <c r="U175" i="2" s="1"/>
  <c r="V175" i="2" s="1"/>
  <c r="S171" i="2"/>
  <c r="T171" i="2" s="1"/>
  <c r="U171" i="2" s="1"/>
  <c r="V171" i="2" s="1"/>
  <c r="S167" i="2"/>
  <c r="T167" i="2" s="1"/>
  <c r="U167" i="2" s="1"/>
  <c r="V167" i="2" s="1"/>
  <c r="S163" i="2"/>
  <c r="T163" i="2" s="1"/>
  <c r="U163" i="2" s="1"/>
  <c r="V163" i="2" s="1"/>
  <c r="S159" i="2"/>
  <c r="T159" i="2" s="1"/>
  <c r="U159" i="2" s="1"/>
  <c r="V159" i="2" s="1"/>
  <c r="S155" i="2"/>
  <c r="T155" i="2" s="1"/>
  <c r="U155" i="2" s="1"/>
  <c r="V155" i="2" s="1"/>
  <c r="S151" i="2"/>
  <c r="T151" i="2" s="1"/>
  <c r="U151" i="2" s="1"/>
  <c r="V151" i="2" s="1"/>
  <c r="S147" i="2"/>
  <c r="T147" i="2" s="1"/>
  <c r="U147" i="2" s="1"/>
  <c r="V147" i="2" s="1"/>
  <c r="S143" i="2"/>
  <c r="T143" i="2" s="1"/>
  <c r="U143" i="2" s="1"/>
  <c r="V143" i="2" s="1"/>
  <c r="S139" i="2"/>
  <c r="T139" i="2" s="1"/>
  <c r="U139" i="2" s="1"/>
  <c r="V139" i="2" s="1"/>
  <c r="S135" i="2"/>
  <c r="T135" i="2" s="1"/>
  <c r="U135" i="2" s="1"/>
  <c r="V135" i="2" s="1"/>
  <c r="S131" i="2"/>
  <c r="T131" i="2" s="1"/>
  <c r="U131" i="2" s="1"/>
  <c r="V131" i="2" s="1"/>
  <c r="S127" i="2"/>
  <c r="T127" i="2" s="1"/>
  <c r="U127" i="2" s="1"/>
  <c r="V127" i="2" s="1"/>
  <c r="S123" i="2"/>
  <c r="T123" i="2" s="1"/>
  <c r="U123" i="2" s="1"/>
  <c r="V123" i="2" s="1"/>
  <c r="S119" i="2"/>
  <c r="T119" i="2" s="1"/>
  <c r="U119" i="2" s="1"/>
  <c r="V119" i="2" s="1"/>
  <c r="S115" i="2"/>
  <c r="T115" i="2" s="1"/>
  <c r="U115" i="2" s="1"/>
  <c r="V115" i="2" s="1"/>
  <c r="S111" i="2"/>
  <c r="T111" i="2" s="1"/>
  <c r="U111" i="2" s="1"/>
  <c r="V111" i="2" s="1"/>
  <c r="S107" i="2"/>
  <c r="T107" i="2" s="1"/>
  <c r="U107" i="2" s="1"/>
  <c r="V107" i="2" s="1"/>
  <c r="S103" i="2"/>
  <c r="T103" i="2" s="1"/>
  <c r="U103" i="2" s="1"/>
  <c r="V103" i="2" s="1"/>
  <c r="S99" i="2"/>
  <c r="S95" i="2"/>
  <c r="T95" i="2" s="1"/>
  <c r="U95" i="2" s="1"/>
  <c r="V95" i="2" s="1"/>
  <c r="S91" i="2"/>
  <c r="T91" i="2" s="1"/>
  <c r="U91" i="2" s="1"/>
  <c r="V91" i="2" s="1"/>
  <c r="S87" i="2"/>
  <c r="T87" i="2" s="1"/>
  <c r="U87" i="2" s="1"/>
  <c r="V87" i="2" s="1"/>
  <c r="S83" i="2"/>
  <c r="T83" i="2" s="1"/>
  <c r="U83" i="2" s="1"/>
  <c r="V83" i="2" s="1"/>
  <c r="S79" i="2"/>
  <c r="T79" i="2" s="1"/>
  <c r="U79" i="2" s="1"/>
  <c r="V79" i="2" s="1"/>
  <c r="S75" i="2"/>
  <c r="T75" i="2" s="1"/>
  <c r="U75" i="2" s="1"/>
  <c r="V75" i="2" s="1"/>
  <c r="S71" i="2"/>
  <c r="T71" i="2" s="1"/>
  <c r="U71" i="2" s="1"/>
  <c r="V71" i="2" s="1"/>
  <c r="S67" i="2"/>
  <c r="T67" i="2" s="1"/>
  <c r="U67" i="2" s="1"/>
  <c r="V67" i="2" s="1"/>
  <c r="S63" i="2"/>
  <c r="T63" i="2" s="1"/>
  <c r="U63" i="2" s="1"/>
  <c r="V63" i="2" s="1"/>
  <c r="S59" i="2"/>
  <c r="T59" i="2" s="1"/>
  <c r="U59" i="2" s="1"/>
  <c r="V59" i="2" s="1"/>
  <c r="S55" i="2"/>
  <c r="T55" i="2" s="1"/>
  <c r="U55" i="2" s="1"/>
  <c r="V55" i="2" s="1"/>
  <c r="S51" i="2"/>
  <c r="T51" i="2" s="1"/>
  <c r="U51" i="2" s="1"/>
  <c r="V51" i="2" s="1"/>
  <c r="S47" i="2"/>
  <c r="T47" i="2" s="1"/>
  <c r="U47" i="2" s="1"/>
  <c r="V47" i="2" s="1"/>
  <c r="S43" i="2"/>
  <c r="T43" i="2" s="1"/>
  <c r="U43" i="2" s="1"/>
  <c r="V43" i="2" s="1"/>
  <c r="S39" i="2"/>
  <c r="T39" i="2" s="1"/>
  <c r="U39" i="2" s="1"/>
  <c r="V39" i="2" s="1"/>
  <c r="S35" i="2"/>
  <c r="T35" i="2" s="1"/>
  <c r="U35" i="2" s="1"/>
  <c r="V35" i="2" s="1"/>
  <c r="S31" i="2"/>
  <c r="T31" i="2" s="1"/>
  <c r="U31" i="2" s="1"/>
  <c r="V31" i="2" s="1"/>
  <c r="S27" i="2"/>
  <c r="T27" i="2" s="1"/>
  <c r="U27" i="2" s="1"/>
  <c r="V27" i="2" s="1"/>
  <c r="S23" i="2"/>
  <c r="T23" i="2" s="1"/>
  <c r="U23" i="2" s="1"/>
  <c r="V23" i="2" s="1"/>
  <c r="S19" i="2"/>
  <c r="T19" i="2" s="1"/>
  <c r="U19" i="2" s="1"/>
  <c r="V19" i="2" s="1"/>
  <c r="S236" i="2"/>
  <c r="T236" i="2" s="1"/>
  <c r="U236" i="2" s="1"/>
  <c r="V236" i="2" s="1"/>
  <c r="S232" i="2"/>
  <c r="T232" i="2" s="1"/>
  <c r="U232" i="2" s="1"/>
  <c r="V232" i="2" s="1"/>
  <c r="S228" i="2"/>
  <c r="T228" i="2" s="1"/>
  <c r="U228" i="2" s="1"/>
  <c r="V228" i="2" s="1"/>
  <c r="S224" i="2"/>
  <c r="T224" i="2" s="1"/>
  <c r="U224" i="2" s="1"/>
  <c r="V224" i="2" s="1"/>
  <c r="S220" i="2"/>
  <c r="T220" i="2" s="1"/>
  <c r="U220" i="2" s="1"/>
  <c r="V220" i="2" s="1"/>
  <c r="S216" i="2"/>
  <c r="T216" i="2" s="1"/>
  <c r="U216" i="2" s="1"/>
  <c r="V216" i="2" s="1"/>
  <c r="S212" i="2"/>
  <c r="T212" i="2" s="1"/>
  <c r="U212" i="2" s="1"/>
  <c r="V212" i="2" s="1"/>
  <c r="S208" i="2"/>
  <c r="T208" i="2" s="1"/>
  <c r="U208" i="2" s="1"/>
  <c r="V208" i="2" s="1"/>
  <c r="S204" i="2"/>
  <c r="T204" i="2" s="1"/>
  <c r="U204" i="2" s="1"/>
  <c r="V204" i="2" s="1"/>
  <c r="S200" i="2"/>
  <c r="T200" i="2" s="1"/>
  <c r="U200" i="2" s="1"/>
  <c r="V200" i="2" s="1"/>
  <c r="S196" i="2"/>
  <c r="T196" i="2" s="1"/>
  <c r="U196" i="2" s="1"/>
  <c r="V196" i="2" s="1"/>
  <c r="S192" i="2"/>
  <c r="T192" i="2" s="1"/>
  <c r="U192" i="2" s="1"/>
  <c r="V192" i="2" s="1"/>
  <c r="S188" i="2"/>
  <c r="T188" i="2" s="1"/>
  <c r="U188" i="2" s="1"/>
  <c r="V188" i="2" s="1"/>
  <c r="S184" i="2"/>
  <c r="T184" i="2" s="1"/>
  <c r="U184" i="2" s="1"/>
  <c r="V184" i="2" s="1"/>
  <c r="S180" i="2"/>
  <c r="T180" i="2" s="1"/>
  <c r="U180" i="2" s="1"/>
  <c r="V180" i="2" s="1"/>
  <c r="S176" i="2"/>
  <c r="T176" i="2" s="1"/>
  <c r="U176" i="2" s="1"/>
  <c r="V176" i="2" s="1"/>
  <c r="S172" i="2"/>
  <c r="T172" i="2" s="1"/>
  <c r="U172" i="2" s="1"/>
  <c r="V172" i="2" s="1"/>
  <c r="S168" i="2"/>
  <c r="T168" i="2" s="1"/>
  <c r="U168" i="2" s="1"/>
  <c r="V168" i="2" s="1"/>
  <c r="S164" i="2"/>
  <c r="T164" i="2" s="1"/>
  <c r="U164" i="2" s="1"/>
  <c r="V164" i="2" s="1"/>
  <c r="S160" i="2"/>
  <c r="T160" i="2" s="1"/>
  <c r="U160" i="2" s="1"/>
  <c r="V160" i="2" s="1"/>
  <c r="S156" i="2"/>
  <c r="T156" i="2" s="1"/>
  <c r="U156" i="2" s="1"/>
  <c r="V156" i="2" s="1"/>
  <c r="S152" i="2"/>
  <c r="T152" i="2" s="1"/>
  <c r="U152" i="2" s="1"/>
  <c r="V152" i="2" s="1"/>
  <c r="S148" i="2"/>
  <c r="T148" i="2" s="1"/>
  <c r="U148" i="2" s="1"/>
  <c r="V148" i="2" s="1"/>
  <c r="S144" i="2"/>
  <c r="T144" i="2" s="1"/>
  <c r="U144" i="2" s="1"/>
  <c r="V144" i="2" s="1"/>
  <c r="S140" i="2"/>
  <c r="T140" i="2" s="1"/>
  <c r="U140" i="2" s="1"/>
  <c r="V140" i="2" s="1"/>
  <c r="S136" i="2"/>
  <c r="T136" i="2" s="1"/>
  <c r="U136" i="2" s="1"/>
  <c r="V136" i="2" s="1"/>
  <c r="S132" i="2"/>
  <c r="T132" i="2" s="1"/>
  <c r="U132" i="2" s="1"/>
  <c r="V132" i="2" s="1"/>
  <c r="S128" i="2"/>
  <c r="T128" i="2" s="1"/>
  <c r="U128" i="2" s="1"/>
  <c r="V128" i="2" s="1"/>
  <c r="S124" i="2"/>
  <c r="T124" i="2" s="1"/>
  <c r="U124" i="2" s="1"/>
  <c r="V124" i="2" s="1"/>
  <c r="S120" i="2"/>
  <c r="T120" i="2" s="1"/>
  <c r="U120" i="2" s="1"/>
  <c r="V120" i="2" s="1"/>
  <c r="S116" i="2"/>
  <c r="T116" i="2" s="1"/>
  <c r="U116" i="2" s="1"/>
  <c r="V116" i="2" s="1"/>
  <c r="S112" i="2"/>
  <c r="T112" i="2" s="1"/>
  <c r="U112" i="2" s="1"/>
  <c r="V112" i="2" s="1"/>
  <c r="S108" i="2"/>
  <c r="T108" i="2" s="1"/>
  <c r="U108" i="2" s="1"/>
  <c r="V108" i="2" s="1"/>
  <c r="S104" i="2"/>
  <c r="T104" i="2" s="1"/>
  <c r="U104" i="2" s="1"/>
  <c r="V104" i="2" s="1"/>
  <c r="S100" i="2"/>
  <c r="T100" i="2" s="1"/>
  <c r="U100" i="2" s="1"/>
  <c r="V100" i="2" s="1"/>
  <c r="S96" i="2"/>
  <c r="T96" i="2" s="1"/>
  <c r="U96" i="2" s="1"/>
  <c r="V96" i="2" s="1"/>
  <c r="S92" i="2"/>
  <c r="T92" i="2" s="1"/>
  <c r="U92" i="2" s="1"/>
  <c r="V92" i="2" s="1"/>
  <c r="S88" i="2"/>
  <c r="T88" i="2" s="1"/>
  <c r="U88" i="2" s="1"/>
  <c r="V88" i="2" s="1"/>
  <c r="S84" i="2"/>
  <c r="T84" i="2" s="1"/>
  <c r="U84" i="2" s="1"/>
  <c r="V84" i="2" s="1"/>
  <c r="S80" i="2"/>
  <c r="T80" i="2" s="1"/>
  <c r="U80" i="2" s="1"/>
  <c r="V80" i="2" s="1"/>
  <c r="S76" i="2"/>
  <c r="T76" i="2" s="1"/>
  <c r="U76" i="2" s="1"/>
  <c r="V76" i="2" s="1"/>
  <c r="S72" i="2"/>
  <c r="T72" i="2" s="1"/>
  <c r="U72" i="2" s="1"/>
  <c r="V72" i="2" s="1"/>
  <c r="S68" i="2"/>
  <c r="T68" i="2" s="1"/>
  <c r="U68" i="2" s="1"/>
  <c r="V68" i="2" s="1"/>
  <c r="S64" i="2"/>
  <c r="T64" i="2" s="1"/>
  <c r="U64" i="2" s="1"/>
  <c r="V64" i="2" s="1"/>
  <c r="S60" i="2"/>
  <c r="T60" i="2" s="1"/>
  <c r="U60" i="2" s="1"/>
  <c r="V60" i="2" s="1"/>
  <c r="S56" i="2"/>
  <c r="T56" i="2" s="1"/>
  <c r="U56" i="2" s="1"/>
  <c r="V56" i="2" s="1"/>
  <c r="S52" i="2"/>
  <c r="T52" i="2" s="1"/>
  <c r="U52" i="2" s="1"/>
  <c r="V52" i="2" s="1"/>
  <c r="S48" i="2"/>
  <c r="T48" i="2" s="1"/>
  <c r="U48" i="2" s="1"/>
  <c r="V48" i="2" s="1"/>
  <c r="S44" i="2"/>
  <c r="T44" i="2" s="1"/>
  <c r="U44" i="2" s="1"/>
  <c r="V44" i="2" s="1"/>
  <c r="S40" i="2"/>
  <c r="T40" i="2" s="1"/>
  <c r="U40" i="2" s="1"/>
  <c r="V40" i="2" s="1"/>
  <c r="S36" i="2"/>
  <c r="T36" i="2" s="1"/>
  <c r="U36" i="2" s="1"/>
  <c r="V36" i="2" s="1"/>
  <c r="S32" i="2"/>
  <c r="T32" i="2" s="1"/>
  <c r="U32" i="2" s="1"/>
  <c r="V32" i="2" s="1"/>
  <c r="S28" i="2"/>
  <c r="T28" i="2" s="1"/>
  <c r="U28" i="2" s="1"/>
  <c r="V28" i="2" s="1"/>
  <c r="S24" i="2"/>
  <c r="T24" i="2" s="1"/>
  <c r="U24" i="2" s="1"/>
  <c r="V24" i="2" s="1"/>
  <c r="S20" i="2"/>
  <c r="T20" i="2" s="1"/>
  <c r="U20" i="2" s="1"/>
  <c r="V20" i="2" s="1"/>
  <c r="T25" i="2"/>
  <c r="U25" i="2" s="1"/>
  <c r="V25" i="2" s="1"/>
  <c r="T29" i="2"/>
  <c r="U29" i="2" s="1"/>
  <c r="V29" i="2" s="1"/>
  <c r="T41" i="2"/>
  <c r="U41" i="2" s="1"/>
  <c r="V41" i="2" s="1"/>
  <c r="T45" i="2"/>
  <c r="U45" i="2" s="1"/>
  <c r="V45" i="2" s="1"/>
  <c r="T53" i="2"/>
  <c r="U53" i="2" s="1"/>
  <c r="V53" i="2" s="1"/>
  <c r="T57" i="2"/>
  <c r="U57" i="2" s="1"/>
  <c r="V57" i="2" s="1"/>
  <c r="T61" i="2"/>
  <c r="U61" i="2" s="1"/>
  <c r="V61" i="2" s="1"/>
  <c r="T73" i="2"/>
  <c r="U73" i="2" s="1"/>
  <c r="V73" i="2" s="1"/>
  <c r="T77" i="2"/>
  <c r="U77" i="2" s="1"/>
  <c r="V77" i="2" s="1"/>
  <c r="T93" i="2"/>
  <c r="U93" i="2" s="1"/>
  <c r="V93" i="2" s="1"/>
  <c r="T101" i="2"/>
  <c r="U101" i="2" s="1"/>
  <c r="V101" i="2" s="1"/>
  <c r="T105" i="2"/>
  <c r="U105" i="2" s="1"/>
  <c r="V105" i="2" s="1"/>
  <c r="T109" i="2"/>
  <c r="U109" i="2" s="1"/>
  <c r="V109" i="2" s="1"/>
  <c r="T121" i="2"/>
  <c r="U121" i="2" s="1"/>
  <c r="V121" i="2" s="1"/>
  <c r="T125" i="2"/>
  <c r="U125" i="2" s="1"/>
  <c r="V125" i="2" s="1"/>
  <c r="T133" i="2"/>
  <c r="U133" i="2" s="1"/>
  <c r="V133" i="2" s="1"/>
  <c r="T137" i="2"/>
  <c r="U137" i="2" s="1"/>
  <c r="V137" i="2" s="1"/>
  <c r="T141" i="2"/>
  <c r="U141" i="2" s="1"/>
  <c r="V141" i="2" s="1"/>
  <c r="T153" i="2"/>
  <c r="U153" i="2" s="1"/>
  <c r="V153" i="2" s="1"/>
  <c r="T157" i="2"/>
  <c r="U157" i="2" s="1"/>
  <c r="V157" i="2" s="1"/>
  <c r="T165" i="2"/>
  <c r="U165" i="2" s="1"/>
  <c r="V165" i="2" s="1"/>
  <c r="T169" i="2"/>
  <c r="U169" i="2" s="1"/>
  <c r="V169" i="2" s="1"/>
  <c r="T173" i="2"/>
  <c r="U173" i="2" s="1"/>
  <c r="V173" i="2" s="1"/>
  <c r="T185" i="2"/>
  <c r="U185" i="2" s="1"/>
  <c r="V185" i="2" s="1"/>
  <c r="T189" i="2"/>
  <c r="U189" i="2" s="1"/>
  <c r="V189" i="2" s="1"/>
  <c r="T197" i="2"/>
  <c r="U197" i="2" s="1"/>
  <c r="V197" i="2" s="1"/>
  <c r="T201" i="2"/>
  <c r="U201" i="2" s="1"/>
  <c r="V201" i="2" s="1"/>
  <c r="T205" i="2"/>
  <c r="U205" i="2" s="1"/>
  <c r="V205" i="2" s="1"/>
  <c r="T217" i="2"/>
  <c r="U217" i="2" s="1"/>
  <c r="V217" i="2" s="1"/>
  <c r="T221" i="2"/>
  <c r="U221" i="2" s="1"/>
  <c r="V221" i="2" s="1"/>
  <c r="T229" i="2"/>
  <c r="U229" i="2" s="1"/>
  <c r="V229" i="2" s="1"/>
  <c r="T233" i="2"/>
  <c r="U233" i="2" s="1"/>
  <c r="V233" i="2" s="1"/>
  <c r="T237" i="2"/>
  <c r="U237" i="2" s="1"/>
  <c r="V237" i="2" s="1"/>
  <c r="T99" i="2"/>
  <c r="U99" i="2" s="1"/>
  <c r="V99" i="2" s="1"/>
  <c r="T234" i="2"/>
  <c r="U234" i="2" s="1"/>
  <c r="V234" i="2" s="1"/>
  <c r="T218" i="2"/>
  <c r="U218" i="2" s="1"/>
  <c r="V218" i="2" s="1"/>
  <c r="T170" i="2"/>
  <c r="U170" i="2" s="1"/>
  <c r="V170" i="2" s="1"/>
  <c r="T138" i="2"/>
  <c r="U138" i="2" s="1"/>
  <c r="V138" i="2" s="1"/>
  <c r="T90" i="2"/>
  <c r="U90" i="2" s="1"/>
  <c r="V90" i="2" s="1"/>
  <c r="T58" i="2"/>
  <c r="U58" i="2" s="1"/>
  <c r="V58" i="2" s="1"/>
  <c r="T225" i="2"/>
  <c r="U225" i="2" s="1"/>
  <c r="V225" i="2" s="1"/>
  <c r="T213" i="2"/>
  <c r="U213" i="2" s="1"/>
  <c r="V213" i="2" s="1"/>
  <c r="T209" i="2"/>
  <c r="U209" i="2" s="1"/>
  <c r="V209" i="2" s="1"/>
  <c r="T193" i="2"/>
  <c r="U193" i="2" s="1"/>
  <c r="V193" i="2" s="1"/>
  <c r="T181" i="2"/>
  <c r="U181" i="2" s="1"/>
  <c r="V181" i="2" s="1"/>
  <c r="T177" i="2"/>
  <c r="U177" i="2" s="1"/>
  <c r="V177" i="2" s="1"/>
  <c r="T161" i="2"/>
  <c r="U161" i="2" s="1"/>
  <c r="V161" i="2" s="1"/>
  <c r="T149" i="2"/>
  <c r="U149" i="2" s="1"/>
  <c r="V149" i="2" s="1"/>
  <c r="T145" i="2"/>
  <c r="U145" i="2" s="1"/>
  <c r="V145" i="2" s="1"/>
  <c r="T129" i="2"/>
  <c r="U129" i="2" s="1"/>
  <c r="V129" i="2" s="1"/>
  <c r="T117" i="2"/>
  <c r="U117" i="2" s="1"/>
  <c r="V117" i="2" s="1"/>
  <c r="T113" i="2"/>
  <c r="U113" i="2" s="1"/>
  <c r="V113" i="2" s="1"/>
  <c r="T97" i="2"/>
  <c r="U97" i="2" s="1"/>
  <c r="V97" i="2" s="1"/>
  <c r="T89" i="2"/>
  <c r="U89" i="2" s="1"/>
  <c r="V89" i="2" s="1"/>
  <c r="T85" i="2"/>
  <c r="U85" i="2" s="1"/>
  <c r="V85" i="2" s="1"/>
  <c r="T81" i="2"/>
  <c r="U81" i="2" s="1"/>
  <c r="V81" i="2" s="1"/>
  <c r="T69" i="2"/>
  <c r="U69" i="2" s="1"/>
  <c r="V69" i="2" s="1"/>
  <c r="T65" i="2"/>
  <c r="U65" i="2" s="1"/>
  <c r="V65" i="2" s="1"/>
  <c r="T49" i="2"/>
  <c r="U49" i="2" s="1"/>
  <c r="V49" i="2" s="1"/>
  <c r="T37" i="2"/>
  <c r="U37" i="2" s="1"/>
  <c r="V37" i="2" s="1"/>
  <c r="T33" i="2"/>
  <c r="U33" i="2" s="1"/>
  <c r="V33" i="2" s="1"/>
  <c r="T21" i="2"/>
  <c r="U21" i="2" s="1"/>
  <c r="V21" i="2" s="1"/>
  <c r="V238" i="2" l="1"/>
  <c r="H17" i="1" s="1"/>
  <c r="H16" i="1" s="1"/>
  <c r="J145" i="6" l="1"/>
  <c r="J128" i="6"/>
  <c r="J111" i="6"/>
  <c r="J94" i="6"/>
  <c r="J77" i="6"/>
  <c r="J60" i="6"/>
  <c r="J156" i="6" l="1"/>
  <c r="I156" i="6"/>
  <c r="J157" i="6" l="1"/>
  <c r="H64" i="1" s="1"/>
  <c r="H58" i="1" l="1"/>
  <c r="H59" i="1" s="1"/>
  <c r="H77" i="1" l="1"/>
  <c r="H78" i="1" l="1"/>
  <c r="H79" i="1" l="1"/>
  <c r="H80" i="1" l="1"/>
  <c r="H81" i="1" s="1"/>
  <c r="J4" i="1"/>
  <c r="G98" i="1" l="1"/>
  <c r="O8" i="1" s="1"/>
  <c r="G86" i="1"/>
  <c r="O5" i="1" s="1"/>
  <c r="G89" i="1"/>
  <c r="O6" i="1" s="1"/>
  <c r="G92" i="1"/>
  <c r="O7" i="1" s="1"/>
  <c r="G106" i="1"/>
  <c r="O9" i="1" s="1"/>
  <c r="G111" i="1"/>
  <c r="O10" i="1" s="1"/>
  <c r="H83" i="1"/>
</calcChain>
</file>

<file path=xl/sharedStrings.xml><?xml version="1.0" encoding="utf-8"?>
<sst xmlns="http://schemas.openxmlformats.org/spreadsheetml/2006/main" count="1221" uniqueCount="366">
  <si>
    <t>поз</t>
  </si>
  <si>
    <t>Категория</t>
  </si>
  <si>
    <t>Наименование</t>
  </si>
  <si>
    <t>Ед изм.</t>
  </si>
  <si>
    <t>К-во</t>
  </si>
  <si>
    <t xml:space="preserve">М.п сварки/к-во деталей на уз </t>
  </si>
  <si>
    <t>Норма</t>
  </si>
  <si>
    <t>Время, ч.</t>
  </si>
  <si>
    <t>Ставка</t>
  </si>
  <si>
    <t>К-во узлов</t>
  </si>
  <si>
    <t>Абрис</t>
  </si>
  <si>
    <t>Наименование работ</t>
  </si>
  <si>
    <t>Погрузочно-разгрузочные работы</t>
  </si>
  <si>
    <t>Упаковочные работы</t>
  </si>
  <si>
    <t>Сварочно-сборочные работы</t>
  </si>
  <si>
    <t>Поз</t>
  </si>
  <si>
    <t>СЕБЕСТОИМОСТЬ ТРУДОЗАТРАТ</t>
  </si>
  <si>
    <t>ПОУЗЛОВОЙ РАСЧЕТ СЕБЕСТОИМОСТИ ТРУДОЗАТРАТ</t>
  </si>
  <si>
    <t>СЕБЕСТОИМОСТЬ МАТЕРИАЛОВ И УСЛУГ</t>
  </si>
  <si>
    <t>Цена без НДС</t>
  </si>
  <si>
    <t>Стоимость без НДС</t>
  </si>
  <si>
    <t>Маржа на работу</t>
  </si>
  <si>
    <t>Себестоимость</t>
  </si>
  <si>
    <t>Наценка торговая</t>
  </si>
  <si>
    <t>Цена продажи</t>
  </si>
  <si>
    <t>Сверление</t>
  </si>
  <si>
    <t xml:space="preserve">Распил на ленточной пиле косой рез </t>
  </si>
  <si>
    <t>Поз.</t>
  </si>
  <si>
    <t>Обозначение</t>
  </si>
  <si>
    <t>Кол.</t>
  </si>
  <si>
    <t>Материал</t>
  </si>
  <si>
    <t>Технология</t>
  </si>
  <si>
    <t>Цена врезки по толщине</t>
  </si>
  <si>
    <t>ГИБКА</t>
  </si>
  <si>
    <t>ДА</t>
  </si>
  <si>
    <t>Цена металла</t>
  </si>
  <si>
    <t>НЕТ</t>
  </si>
  <si>
    <t>руб/кг</t>
  </si>
  <si>
    <t>Плотность</t>
  </si>
  <si>
    <t>Толщина металла:</t>
  </si>
  <si>
    <t>Цена врезки:</t>
  </si>
  <si>
    <t>08 ПС ХК</t>
  </si>
  <si>
    <t>Матовый</t>
  </si>
  <si>
    <t>ст.3 ГК</t>
  </si>
  <si>
    <t>Муар</t>
  </si>
  <si>
    <t>09Г2С</t>
  </si>
  <si>
    <t>Глянец</t>
  </si>
  <si>
    <t>Оцинковка</t>
  </si>
  <si>
    <t>Шагрень</t>
  </si>
  <si>
    <t>Аллюминий</t>
  </si>
  <si>
    <t>Нержавейка</t>
  </si>
  <si>
    <t>Собственный</t>
  </si>
  <si>
    <t>Спец</t>
  </si>
  <si>
    <t>Давальческий</t>
  </si>
  <si>
    <t>Цена резки за м.п. по толщине</t>
  </si>
  <si>
    <t>Масса кг</t>
  </si>
  <si>
    <t>наценка проц.</t>
  </si>
  <si>
    <t>на отходы проц</t>
  </si>
  <si>
    <t xml:space="preserve">Цена 1 изделия </t>
  </si>
  <si>
    <t>к-во</t>
  </si>
  <si>
    <t>Итого</t>
  </si>
  <si>
    <t>Сварка</t>
  </si>
  <si>
    <t>цена без НДС</t>
  </si>
  <si>
    <t>Обрезка</t>
  </si>
  <si>
    <t>Периметр</t>
  </si>
  <si>
    <t>Обозначение и наименование сетки</t>
  </si>
  <si>
    <t>мат</t>
  </si>
  <si>
    <t>услуга</t>
  </si>
  <si>
    <t>Итог</t>
  </si>
  <si>
    <t>Внешний вид</t>
  </si>
  <si>
    <t>Технологические габариты ДхШхВ, мм</t>
  </si>
  <si>
    <t>Внешние габариты, ДхШхВ, мм</t>
  </si>
  <si>
    <t>Масса, кг</t>
  </si>
  <si>
    <t>Тип покрытия</t>
  </si>
  <si>
    <t>RAL</t>
  </si>
  <si>
    <t>Описание</t>
  </si>
  <si>
    <t>К-во в фуре</t>
  </si>
  <si>
    <t>Серия</t>
  </si>
  <si>
    <t>Сварка сетки</t>
  </si>
  <si>
    <t>ПРОЕКТ</t>
  </si>
  <si>
    <t>Услуга</t>
  </si>
  <si>
    <t>Лазер</t>
  </si>
  <si>
    <t>Сгибы</t>
  </si>
  <si>
    <t>Сталь 08пс ГОСТ 535-88</t>
  </si>
  <si>
    <t>Ст 3 ГОСТ 14637-2015</t>
  </si>
  <si>
    <t>Сталь ОЦ 08пс ГОСТ 535-88</t>
  </si>
  <si>
    <t>09Г2С ГОСТ19281-2014</t>
  </si>
  <si>
    <t>Д16Т ГОСТ 4784-97</t>
  </si>
  <si>
    <t>Амг</t>
  </si>
  <si>
    <t>AISI 304</t>
  </si>
  <si>
    <t>Врезки</t>
  </si>
  <si>
    <t>Цена материала, руб с НДС/кг</t>
  </si>
  <si>
    <t>Периметр -
Внешний, мм</t>
  </si>
  <si>
    <t>Периметр -
Внутренний, мм</t>
  </si>
  <si>
    <t>Толщина, мм</t>
  </si>
  <si>
    <t>Кол., шт</t>
  </si>
  <si>
    <t>Стоимость материала, руб с НДС</t>
  </si>
  <si>
    <t>Стоимость гибки, руб с НДС</t>
  </si>
  <si>
    <t>Стоимость 
резки, руб с НДС</t>
  </si>
  <si>
    <t>Стоимость 1 
детали, руб с НДС</t>
  </si>
  <si>
    <t>Стоимость 
комплекта, руб с НДС</t>
  </si>
  <si>
    <t>Стоимость 
комплекта, руб без НДС</t>
  </si>
  <si>
    <t>Цена гибки, руб с НДС/сгиб</t>
  </si>
  <si>
    <t>Цена врезки, руб с НДС/врезка</t>
  </si>
  <si>
    <t>Цена резки, руб с НДС/м</t>
  </si>
  <si>
    <t>Цена материала</t>
  </si>
  <si>
    <t>Стоимость 
Фрезеровки, руб без НДС</t>
  </si>
  <si>
    <t>Стоимость 
материала, руб безНДС</t>
  </si>
  <si>
    <t>Общая масса, кг</t>
  </si>
  <si>
    <t>Фрезеровка</t>
  </si>
  <si>
    <t>Покрасочые работы</t>
  </si>
  <si>
    <t>Длина, м</t>
  </si>
  <si>
    <t>Ширина, м</t>
  </si>
  <si>
    <t>Площадь, м.кв</t>
  </si>
  <si>
    <t>Лазерный труборез</t>
  </si>
  <si>
    <t>ЧПУ гибка прутка</t>
  </si>
  <si>
    <t>Гальваническое покрытие</t>
  </si>
  <si>
    <t>Крепеж</t>
  </si>
  <si>
    <t>Услуги</t>
  </si>
  <si>
    <t>ЧПУ фрезеровка</t>
  </si>
  <si>
    <t>Материальная часть</t>
  </si>
  <si>
    <t>кг мат</t>
  </si>
  <si>
    <t>Ratio S/M</t>
  </si>
  <si>
    <t>(норма 200-350)</t>
  </si>
  <si>
    <t>Общее время на узел, ч</t>
  </si>
  <si>
    <t>Общая цена узла без НДС</t>
  </si>
  <si>
    <t>Мехобработка субподряд</t>
  </si>
  <si>
    <t>Навивка пружин</t>
  </si>
  <si>
    <t>с НДС</t>
  </si>
  <si>
    <t>Итого материалы и услуги</t>
  </si>
  <si>
    <t>Структура цены</t>
  </si>
  <si>
    <t>Трудозатраты</t>
  </si>
  <si>
    <t>Е14</t>
  </si>
  <si>
    <t>услуги субподрядчиков (сторонние организации)</t>
  </si>
  <si>
    <t>Е11</t>
  </si>
  <si>
    <t>материалы и комплектующие (прямые расходы для заказов)</t>
  </si>
  <si>
    <t>Расходы на снабжение</t>
  </si>
  <si>
    <t>Ж12</t>
  </si>
  <si>
    <t>Ж13</t>
  </si>
  <si>
    <t>изготовление оснастки - приспособления для производства</t>
  </si>
  <si>
    <t>расх.материалы для производства, оснастка, спец.одежда и СИЗ</t>
  </si>
  <si>
    <t>Е12</t>
  </si>
  <si>
    <t>расходы на покупку материалов (транспорт от поставщика до предприятия)</t>
  </si>
  <si>
    <t>ФОТ ИТР и конструкторов</t>
  </si>
  <si>
    <t>ФОТ рабочих оклад</t>
  </si>
  <si>
    <t>ФОТ рабочих сделка</t>
  </si>
  <si>
    <t>А1</t>
  </si>
  <si>
    <t>А21</t>
  </si>
  <si>
    <t>А23</t>
  </si>
  <si>
    <t>А24</t>
  </si>
  <si>
    <t>Г11</t>
  </si>
  <si>
    <t>Обслуживание погрузчика и автотранспорта</t>
  </si>
  <si>
    <t>Д11</t>
  </si>
  <si>
    <t>Электричество</t>
  </si>
  <si>
    <t>Д13</t>
  </si>
  <si>
    <t>топливо, ГСМ (бензин, ДТ, автомобильные масла и смазки)</t>
  </si>
  <si>
    <t>Отопление</t>
  </si>
  <si>
    <t>расходы на отгрузку продукции (доставка до Заказчика)</t>
  </si>
  <si>
    <t>Д12</t>
  </si>
  <si>
    <t>Е13</t>
  </si>
  <si>
    <t>Ж11</t>
  </si>
  <si>
    <t>покупка инструмента / мелкое оборуд. (стоим.&lt;100т.р., &gt;5т.р.)</t>
  </si>
  <si>
    <t>расходы на изготовление образцов для заказчиков</t>
  </si>
  <si>
    <t>Ж14</t>
  </si>
  <si>
    <t>Приобретение станков, активов - ОС (стоим. &gt;100 т.р. или 12 мес.)</t>
  </si>
  <si>
    <t>З11</t>
  </si>
  <si>
    <t>А4</t>
  </si>
  <si>
    <t>Налог на прибыль и добавленную стоимость</t>
  </si>
  <si>
    <t>А3</t>
  </si>
  <si>
    <t>Долги перед банками и лизинг</t>
  </si>
  <si>
    <t xml:space="preserve">ФОТ АУП </t>
  </si>
  <si>
    <t>А22</t>
  </si>
  <si>
    <t>А25</t>
  </si>
  <si>
    <t>Соц.налог и выплаты</t>
  </si>
  <si>
    <t>Аренда</t>
  </si>
  <si>
    <t>В1</t>
  </si>
  <si>
    <t>Реклама и маркетинг</t>
  </si>
  <si>
    <t>Б1</t>
  </si>
  <si>
    <t>Переменные косвенные расходы (командир., внепроектные, НН)</t>
  </si>
  <si>
    <t>А5</t>
  </si>
  <si>
    <t>Другие ежемесячные расходы (офисные)</t>
  </si>
  <si>
    <t>Нераспределенная прибыль</t>
  </si>
  <si>
    <t>Коммерческий отдел</t>
  </si>
  <si>
    <t>Прибыль учредителей</t>
  </si>
  <si>
    <t>размер фонда</t>
  </si>
  <si>
    <t>получено из сметы</t>
  </si>
  <si>
    <t>Доставка</t>
  </si>
  <si>
    <t>ЧПУ трубогиб</t>
  </si>
  <si>
    <t>Сварка сетки субподряд</t>
  </si>
  <si>
    <t>Кол.проходов</t>
  </si>
  <si>
    <t>Распил на ленточной пиле прямой рез</t>
  </si>
  <si>
    <t>Цена, руб без НДС</t>
  </si>
  <si>
    <t>Стоимость, руб без НДС</t>
  </si>
  <si>
    <t>Фактическая Итоговая стоимость, руб. без НДС</t>
  </si>
  <si>
    <t>Фактическая стоимость на комплект, руб бех НДС</t>
  </si>
  <si>
    <t>Разница в %</t>
  </si>
  <si>
    <t>Время, затраченное на проект</t>
  </si>
  <si>
    <t>от 1 до 7 шт - стоимость 750 руб/час, 2х трудозатраты
от 8 до 40 -   стоимость 750 руб/час, 1х трудозатраты
от 41 шт -      стоимость 600 руб/час, 1х трудозатраты</t>
  </si>
  <si>
    <t>Изготовление кондукторов</t>
  </si>
  <si>
    <t>Время, часов</t>
  </si>
  <si>
    <t>Ставка, руб</t>
  </si>
  <si>
    <t>Стоимость, руб</t>
  </si>
  <si>
    <t>Время на изготовление кондуктора на комплект, мин</t>
  </si>
  <si>
    <t>ИТС 1311 0000 001</t>
  </si>
  <si>
    <t>Пластина</t>
  </si>
  <si>
    <t>МБС-С ГОСТ 7338-90</t>
  </si>
  <si>
    <t>Чпу фрезер</t>
  </si>
  <si>
    <t>ИТС 1313 0000 003</t>
  </si>
  <si>
    <t>Пластина низ</t>
  </si>
  <si>
    <t>ИТС 1313 0000 026</t>
  </si>
  <si>
    <t>ИТС 1313 0000 002</t>
  </si>
  <si>
    <t>Упор</t>
  </si>
  <si>
    <t>TLT 130501.301</t>
  </si>
  <si>
    <t>Основание документодержателя</t>
  </si>
  <si>
    <t>Л+Г</t>
  </si>
  <si>
    <t>ИТС 1309 0100 005</t>
  </si>
  <si>
    <t>Карман</t>
  </si>
  <si>
    <t>ИТС 1309 0100 004</t>
  </si>
  <si>
    <t>Опора</t>
  </si>
  <si>
    <t>ИТС 1309 0100 008</t>
  </si>
  <si>
    <t>Скоба упора</t>
  </si>
  <si>
    <t>ИТС 1313 0702 001</t>
  </si>
  <si>
    <t>Прижим</t>
  </si>
  <si>
    <t>ИТС 1309 0101 001</t>
  </si>
  <si>
    <t>Швеллер</t>
  </si>
  <si>
    <t>ИТС 1319 0701 101</t>
  </si>
  <si>
    <t>ИТС 1309 0100 001</t>
  </si>
  <si>
    <t>ИТС 1309 0100 001-01</t>
  </si>
  <si>
    <t>ИТС 1313 0100 026</t>
  </si>
  <si>
    <t>ИТС 1313 0100 027</t>
  </si>
  <si>
    <t>ИТС 1313 0100 027-01</t>
  </si>
  <si>
    <t>ИТС 1309 0100 006</t>
  </si>
  <si>
    <t>Заглушка</t>
  </si>
  <si>
    <t>Л</t>
  </si>
  <si>
    <t>ИТС 1309 0101 002</t>
  </si>
  <si>
    <t>ИТС 1309 0701 101</t>
  </si>
  <si>
    <t>Щека</t>
  </si>
  <si>
    <t>ИТС 1309 0701 102</t>
  </si>
  <si>
    <t>ИТС 1309 0701 103</t>
  </si>
  <si>
    <t>Ребро</t>
  </si>
  <si>
    <t>ИТС 1313 0100 003</t>
  </si>
  <si>
    <t>Платик</t>
  </si>
  <si>
    <t>ИТС 1313 0100 004</t>
  </si>
  <si>
    <t>Косынка</t>
  </si>
  <si>
    <t>ИТС 1313 0200 021</t>
  </si>
  <si>
    <t>ИТС 1309 0100 002</t>
  </si>
  <si>
    <t>ИТС 1309 0100 003</t>
  </si>
  <si>
    <t>ИТС 1313 0100 028</t>
  </si>
  <si>
    <t>Гребенка</t>
  </si>
  <si>
    <t>Комплектующие</t>
  </si>
  <si>
    <t>Табличка</t>
  </si>
  <si>
    <t>Гребенка нижняя</t>
  </si>
  <si>
    <t>Фиксатор</t>
  </si>
  <si>
    <t>Техпластина 10 мм МБС-С 2Н (1100х1200 мм) ГОСТ 7338-90</t>
  </si>
  <si>
    <t>Техпластина 50 мм МБС-С 2Ф (720х720 мм, 40 кг) ГОСТ 7338-90</t>
  </si>
  <si>
    <t>Болт M8 x 70 DIN 933</t>
  </si>
  <si>
    <t>Болт M8 x 80 DIN 933</t>
  </si>
  <si>
    <t>Гайка М8 DIN 932</t>
  </si>
  <si>
    <t>Саморез ST4.8x13 DIN 7972</t>
  </si>
  <si>
    <t>Саморез ST5.5x19 DIN 7972</t>
  </si>
  <si>
    <t>Саморез ST5.5x22 DIN 7972</t>
  </si>
  <si>
    <t>Саморез ST5.5x32 DIN 7972</t>
  </si>
  <si>
    <t>Шайба A 17  DIN 125</t>
  </si>
  <si>
    <t>Шайба A 6.4  DIN 125</t>
  </si>
  <si>
    <t>Шайба A 8.4  DIN 125</t>
  </si>
  <si>
    <t>Шайба гров. A8 DIN 128</t>
  </si>
  <si>
    <t>Шплинт 5x22 DIN 94</t>
  </si>
  <si>
    <t>ИТС Тара для панели двери передней наружной</t>
  </si>
  <si>
    <t>0x0x0</t>
  </si>
  <si>
    <t>1650x1000x1450</t>
  </si>
  <si>
    <t>Краска</t>
  </si>
  <si>
    <t>Контейнер по ТЗ</t>
  </si>
  <si>
    <t>кг.</t>
  </si>
  <si>
    <t>Круг 10</t>
  </si>
  <si>
    <t>м.</t>
  </si>
  <si>
    <t>Круг 16</t>
  </si>
  <si>
    <t>Труба 100х50х4</t>
  </si>
  <si>
    <t>Труба 22х,2,5</t>
  </si>
  <si>
    <t>Труба 50х25х3</t>
  </si>
  <si>
    <t>Труба 50х50х3</t>
  </si>
  <si>
    <t>Труба 60х30х3</t>
  </si>
  <si>
    <t>Труба 60х60х3</t>
  </si>
  <si>
    <t>Труба 60х60х4</t>
  </si>
  <si>
    <t>Уголок 20х20х3</t>
  </si>
  <si>
    <t>Шланг-трубка НОВЭМ ПВХ 10x14 14х2</t>
  </si>
  <si>
    <t>шт.</t>
  </si>
  <si>
    <t>итс 1309 0100 003</t>
  </si>
  <si>
    <t>вал 130501.300</t>
  </si>
  <si>
    <t>основание</t>
  </si>
  <si>
    <t>лыжа</t>
  </si>
  <si>
    <t>задняя стенка</t>
  </si>
  <si>
    <t>боковина правая</t>
  </si>
  <si>
    <t>боковина левая</t>
  </si>
  <si>
    <t>итс 1313 0100 028</t>
  </si>
  <si>
    <t>итс 1313 0100 026</t>
  </si>
  <si>
    <t>tlt 130501.303</t>
  </si>
  <si>
    <t>tlt 130501.302</t>
  </si>
  <si>
    <t>tlt 130501.301</t>
  </si>
  <si>
    <t>итс 1309 0102 001</t>
  </si>
  <si>
    <t>итс 1309 0101 000</t>
  </si>
  <si>
    <t>итс 1309 0100 007</t>
  </si>
  <si>
    <t>итс 1313 0100 027</t>
  </si>
  <si>
    <t>итс 1313 0100 027-01</t>
  </si>
  <si>
    <t>итс 1309 0102 003</t>
  </si>
  <si>
    <t>итс 1309 0101 002</t>
  </si>
  <si>
    <t>итс 1309 0101 001</t>
  </si>
  <si>
    <t>итс 1309 0102 007</t>
  </si>
  <si>
    <t>итс 1309 0100 001-01</t>
  </si>
  <si>
    <t>итс 1309 0100 002</t>
  </si>
  <si>
    <t>итс 1309 0100 001</t>
  </si>
  <si>
    <t>итс 1309 0102 006</t>
  </si>
  <si>
    <t>итс 1309 0102 009</t>
  </si>
  <si>
    <t>итс 1309 0102 008</t>
  </si>
  <si>
    <t>консоль</t>
  </si>
  <si>
    <t>консоль-01</t>
  </si>
  <si>
    <t>итс 1313 0100 004</t>
  </si>
  <si>
    <t>итс 1313 0100 003</t>
  </si>
  <si>
    <t>итс 1313 0100 006</t>
  </si>
  <si>
    <t>итс 1309 0100 008</t>
  </si>
  <si>
    <t>итс 1309 0100 006</t>
  </si>
  <si>
    <t>итс 1309 0100 004</t>
  </si>
  <si>
    <t>итс 1309 0102 004</t>
  </si>
  <si>
    <t>итс 1313 0700 000-01</t>
  </si>
  <si>
    <t>итс 1309 0102 010</t>
  </si>
  <si>
    <t>итс 1309 0100 005</t>
  </si>
  <si>
    <t>итс 1309 0102 005</t>
  </si>
  <si>
    <t>итс 1309 0102 002</t>
  </si>
  <si>
    <t>итс 1313 0701 000-011</t>
  </si>
  <si>
    <t xml:space="preserve">итс 1313 0702 000 </t>
  </si>
  <si>
    <t>итс 1313 0201 000</t>
  </si>
  <si>
    <t>итс 1313 0201 001</t>
  </si>
  <si>
    <t>итс 1313 0701 100</t>
  </si>
  <si>
    <t>итс 1313 0701 004</t>
  </si>
  <si>
    <t>итс 1313 0701 003</t>
  </si>
  <si>
    <t>итс 1313 0202 000</t>
  </si>
  <si>
    <t>итс 1313 0201 002</t>
  </si>
  <si>
    <t>итс 1313 0201 001-01</t>
  </si>
  <si>
    <t>итс 1309 0200 001</t>
  </si>
  <si>
    <t>итс 1313 0200 021</t>
  </si>
  <si>
    <t>итс 1309 0701 101</t>
  </si>
  <si>
    <t>итс 1319 0701 101</t>
  </si>
  <si>
    <t>итс 1309 0701 102</t>
  </si>
  <si>
    <t>итс 1313 0701 106</t>
  </si>
  <si>
    <t>итс 1309 0701 103</t>
  </si>
  <si>
    <t>итс 1313 0702 001</t>
  </si>
  <si>
    <t>фиксатор</t>
  </si>
  <si>
    <t>итс 1313 0702 003</t>
  </si>
  <si>
    <t>итс 1313 0700 000</t>
  </si>
  <si>
    <t>итс 1313 0701 000</t>
  </si>
  <si>
    <t>итс 1313 0201 003</t>
  </si>
  <si>
    <t>техпластина 10 мм мбс-с 2н (1100х1200 мм) гост 7338-90</t>
  </si>
  <si>
    <t>техпластина 50 мм мбс-с 2ф (720х720 мм, 40 кг) гост 7338-90</t>
  </si>
  <si>
    <t>итс 1313 0100 000</t>
  </si>
  <si>
    <t>итс 1313 0000 025</t>
  </si>
  <si>
    <t>итс 1313 0000 003</t>
  </si>
  <si>
    <t>итс 1311 0000 001</t>
  </si>
  <si>
    <t>итс 1313 0000 002</t>
  </si>
  <si>
    <t>итс 1313 0000 001</t>
  </si>
  <si>
    <t>итс 1309 0000 010</t>
  </si>
  <si>
    <t>итс 1313 0000 026</t>
  </si>
  <si>
    <t>Лист ПВЛ 3061000х1000</t>
  </si>
  <si>
    <t>1 лист</t>
  </si>
  <si>
    <t>825</t>
  </si>
  <si>
    <t>Маркировка</t>
  </si>
  <si>
    <t>Резка листа ПВЛ</t>
  </si>
  <si>
    <t>Резка трубок ПВХ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</si>
</sst>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#,##0\ &quot;₽&quot;"/>
    <numFmt numFmtId="166" formatCode="#,##0.00\ &quot;₽&quot;"/>
    <numFmt numFmtId="167" formatCode="#,##0.0\ &quot;₽&quot;"/>
    <numFmt numFmtId="168" formatCode="0.0%"/>
    <numFmt numFmtId="169" formatCode="#,##0.00000\ &quot;₽&quot;"/>
    <numFmt numFmtId="170" formatCode="[$-F400]h:mm:ss\ AM/PM"/>
  </numFmts>
  <fonts count="22" x14ac:knownFonts="1"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i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Bell MT"/>
      <family val="1"/>
    </font>
    <font>
      <sz val="10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5">
    <xf numFmtId="0" fontId="0" fillId="0" borderId="0"/>
    <xf numFmtId="164" fontId="9" fillId="0" borderId="0" applyFont="0" applyFill="0" applyBorder="0" applyAlignment="0" applyProtection="0"/>
    <xf numFmtId="0" fontId="19" fillId="0" borderId="0"/>
    <xf numFmtId="9" fontId="9" fillId="0" borderId="0" applyFont="0" applyFill="0" applyBorder="0" applyAlignment="0" applyProtection="0"/>
    <xf numFmtId="0" fontId="21" fillId="0" borderId="0"/>
  </cellStyleXfs>
  <cellXfs count="2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 applyBorder="1"/>
    <xf numFmtId="0" fontId="5" fillId="0" borderId="0" xfId="0" applyFont="1" applyBorder="1"/>
    <xf numFmtId="165" fontId="5" fillId="0" borderId="1" xfId="0" applyNumberFormat="1" applyFont="1" applyBorder="1"/>
    <xf numFmtId="166" fontId="7" fillId="3" borderId="0" xfId="0" applyNumberFormat="1" applyFont="1" applyFill="1" applyBorder="1"/>
    <xf numFmtId="49" fontId="3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8" fillId="0" borderId="14" xfId="0" applyFont="1" applyBorder="1" applyAlignment="1">
      <alignment horizontal="right"/>
    </xf>
    <xf numFmtId="0" fontId="8" fillId="0" borderId="14" xfId="0" applyFont="1" applyBorder="1" applyAlignment="1">
      <alignment horizontal="right" vertical="center"/>
    </xf>
    <xf numFmtId="0" fontId="8" fillId="0" borderId="1" xfId="0" applyFont="1" applyBorder="1"/>
    <xf numFmtId="0" fontId="8" fillId="0" borderId="4" xfId="0" applyFont="1" applyBorder="1"/>
    <xf numFmtId="0" fontId="6" fillId="2" borderId="16" xfId="0" applyFont="1" applyFill="1" applyBorder="1" applyAlignment="1">
      <alignment horizontal="center" vertical="center" wrapText="1"/>
    </xf>
    <xf numFmtId="167" fontId="8" fillId="0" borderId="5" xfId="0" applyNumberFormat="1" applyFont="1" applyBorder="1" applyAlignment="1">
      <alignment horizontal="center" vertical="center"/>
    </xf>
    <xf numFmtId="167" fontId="8" fillId="0" borderId="17" xfId="0" applyNumberFormat="1" applyFont="1" applyBorder="1" applyAlignment="1">
      <alignment horizontal="center" vertical="center"/>
    </xf>
    <xf numFmtId="0" fontId="8" fillId="0" borderId="18" xfId="0" applyFont="1" applyBorder="1"/>
    <xf numFmtId="0" fontId="8" fillId="0" borderId="5" xfId="0" applyFont="1" applyBorder="1"/>
    <xf numFmtId="0" fontId="3" fillId="0" borderId="1" xfId="0" applyFont="1" applyBorder="1"/>
    <xf numFmtId="0" fontId="8" fillId="0" borderId="2" xfId="0" applyFont="1" applyBorder="1"/>
    <xf numFmtId="0" fontId="8" fillId="0" borderId="19" xfId="0" applyFont="1" applyBorder="1"/>
    <xf numFmtId="0" fontId="3" fillId="0" borderId="2" xfId="0" applyFont="1" applyBorder="1"/>
    <xf numFmtId="0" fontId="3" fillId="0" borderId="4" xfId="0" applyFont="1" applyBorder="1"/>
    <xf numFmtId="0" fontId="0" fillId="0" borderId="2" xfId="0" applyBorder="1"/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9" fontId="3" fillId="0" borderId="0" xfId="0" applyNumberFormat="1" applyFont="1" applyBorder="1"/>
    <xf numFmtId="166" fontId="3" fillId="0" borderId="0" xfId="0" applyNumberFormat="1" applyFont="1"/>
    <xf numFmtId="0" fontId="10" fillId="0" borderId="0" xfId="0" applyFont="1" applyFill="1"/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center"/>
    </xf>
    <xf numFmtId="0" fontId="10" fillId="0" borderId="1" xfId="0" applyFont="1" applyFill="1" applyBorder="1"/>
    <xf numFmtId="0" fontId="11" fillId="0" borderId="31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3" fillId="0" borderId="1" xfId="0" applyFont="1" applyFill="1" applyBorder="1"/>
    <xf numFmtId="0" fontId="15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164" fontId="15" fillId="0" borderId="1" xfId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/>
    <xf numFmtId="0" fontId="15" fillId="0" borderId="0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4" borderId="20" xfId="0" applyFont="1" applyFill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2" borderId="19" xfId="0" applyFont="1" applyFill="1" applyBorder="1"/>
    <xf numFmtId="0" fontId="5" fillId="2" borderId="32" xfId="0" applyFont="1" applyFill="1" applyBorder="1"/>
    <xf numFmtId="0" fontId="5" fillId="2" borderId="33" xfId="0" applyFont="1" applyFill="1" applyBorder="1"/>
    <xf numFmtId="0" fontId="5" fillId="0" borderId="34" xfId="0" applyFont="1" applyBorder="1"/>
    <xf numFmtId="0" fontId="5" fillId="0" borderId="35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66" fontId="5" fillId="0" borderId="1" xfId="0" applyNumberFormat="1" applyFont="1" applyBorder="1"/>
    <xf numFmtId="166" fontId="7" fillId="0" borderId="1" xfId="0" applyNumberFormat="1" applyFont="1" applyFill="1" applyBorder="1"/>
    <xf numFmtId="0" fontId="5" fillId="2" borderId="34" xfId="0" applyFont="1" applyFill="1" applyBorder="1"/>
    <xf numFmtId="0" fontId="5" fillId="2" borderId="0" xfId="0" applyFont="1" applyFill="1" applyBorder="1"/>
    <xf numFmtId="0" fontId="5" fillId="2" borderId="35" xfId="0" applyFont="1" applyFill="1" applyBorder="1"/>
    <xf numFmtId="0" fontId="5" fillId="0" borderId="25" xfId="0" applyFont="1" applyBorder="1"/>
    <xf numFmtId="0" fontId="5" fillId="0" borderId="14" xfId="0" applyFont="1" applyBorder="1"/>
    <xf numFmtId="166" fontId="7" fillId="0" borderId="14" xfId="0" applyNumberFormat="1" applyFont="1" applyFill="1" applyBorder="1"/>
    <xf numFmtId="0" fontId="5" fillId="0" borderId="26" xfId="0" applyFont="1" applyBorder="1"/>
    <xf numFmtId="166" fontId="7" fillId="2" borderId="36" xfId="0" applyNumberFormat="1" applyFont="1" applyFill="1" applyBorder="1"/>
    <xf numFmtId="166" fontId="5" fillId="0" borderId="27" xfId="0" applyNumberFormat="1" applyFont="1" applyBorder="1"/>
    <xf numFmtId="166" fontId="0" fillId="0" borderId="0" xfId="0" applyNumberFormat="1"/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left" vertical="center"/>
    </xf>
    <xf numFmtId="0" fontId="16" fillId="0" borderId="1" xfId="0" applyFont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7" fillId="5" borderId="36" xfId="0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Fill="1" applyBorder="1"/>
    <xf numFmtId="0" fontId="16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3" xfId="0" applyFont="1" applyFill="1" applyBorder="1"/>
    <xf numFmtId="0" fontId="16" fillId="0" borderId="6" xfId="0" applyFont="1" applyBorder="1"/>
    <xf numFmtId="0" fontId="16" fillId="0" borderId="5" xfId="0" applyFont="1" applyBorder="1"/>
    <xf numFmtId="0" fontId="16" fillId="0" borderId="3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5" xfId="0" applyFont="1" applyBorder="1"/>
    <xf numFmtId="0" fontId="3" fillId="0" borderId="3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3" xfId="0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49" fontId="3" fillId="0" borderId="6" xfId="0" applyNumberFormat="1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20" fillId="0" borderId="0" xfId="0" applyFont="1" applyAlignment="1">
      <alignment vertical="center" wrapText="1"/>
    </xf>
    <xf numFmtId="166" fontId="7" fillId="3" borderId="0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10" fontId="3" fillId="0" borderId="0" xfId="0" applyNumberFormat="1" applyFont="1" applyBorder="1"/>
    <xf numFmtId="166" fontId="7" fillId="3" borderId="0" xfId="0" applyNumberFormat="1" applyFont="1" applyFill="1"/>
    <xf numFmtId="0" fontId="8" fillId="0" borderId="0" xfId="0" applyFont="1" applyBorder="1"/>
    <xf numFmtId="10" fontId="3" fillId="0" borderId="0" xfId="0" applyNumberFormat="1" applyFont="1"/>
    <xf numFmtId="0" fontId="3" fillId="6" borderId="0" xfId="0" applyFont="1" applyFill="1"/>
    <xf numFmtId="0" fontId="3" fillId="6" borderId="0" xfId="0" applyFont="1" applyFill="1" applyBorder="1"/>
    <xf numFmtId="168" fontId="3" fillId="6" borderId="0" xfId="3" applyNumberFormat="1" applyFont="1" applyFill="1" applyBorder="1"/>
    <xf numFmtId="0" fontId="3" fillId="6" borderId="0" xfId="0" applyFont="1" applyFill="1" applyAlignment="1"/>
    <xf numFmtId="0" fontId="3" fillId="0" borderId="0" xfId="0" applyFont="1" applyFill="1" applyBorder="1"/>
    <xf numFmtId="0" fontId="3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right"/>
    </xf>
    <xf numFmtId="10" fontId="3" fillId="0" borderId="0" xfId="0" applyNumberFormat="1" applyFont="1" applyFill="1" applyBorder="1"/>
    <xf numFmtId="10" fontId="3" fillId="6" borderId="0" xfId="0" applyNumberFormat="1" applyFont="1" applyFill="1" applyBorder="1"/>
    <xf numFmtId="10" fontId="3" fillId="6" borderId="0" xfId="0" applyNumberFormat="1" applyFont="1" applyFill="1"/>
    <xf numFmtId="10" fontId="8" fillId="0" borderId="0" xfId="0" applyNumberFormat="1" applyFont="1" applyBorder="1"/>
    <xf numFmtId="10" fontId="8" fillId="0" borderId="0" xfId="0" applyNumberFormat="1" applyFont="1"/>
    <xf numFmtId="10" fontId="8" fillId="0" borderId="0" xfId="0" applyNumberFormat="1" applyFont="1" applyFill="1" applyBorder="1"/>
    <xf numFmtId="0" fontId="8" fillId="7" borderId="0" xfId="0" applyFont="1" applyFill="1"/>
    <xf numFmtId="0" fontId="3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33" xfId="0" applyFont="1" applyBorder="1"/>
    <xf numFmtId="0" fontId="1" fillId="0" borderId="5" xfId="0" applyFont="1" applyBorder="1"/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right" vertical="center"/>
    </xf>
    <xf numFmtId="165" fontId="4" fillId="0" borderId="5" xfId="0" applyNumberFormat="1" applyFont="1" applyBorder="1" applyAlignment="1">
      <alignment horizontal="center" vertical="center" wrapText="1"/>
    </xf>
    <xf numFmtId="169" fontId="0" fillId="0" borderId="1" xfId="0" applyNumberFormat="1" applyBorder="1"/>
    <xf numFmtId="0" fontId="8" fillId="0" borderId="14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NumberFormat="1" applyFont="1" applyAlignment="1">
      <alignment vertical="center"/>
    </xf>
    <xf numFmtId="167" fontId="7" fillId="0" borderId="19" xfId="0" applyNumberFormat="1" applyFont="1" applyBorder="1" applyAlignment="1">
      <alignment vertical="center"/>
    </xf>
    <xf numFmtId="167" fontId="7" fillId="0" borderId="17" xfId="0" applyNumberFormat="1" applyFont="1" applyBorder="1" applyAlignment="1">
      <alignment vertical="center"/>
    </xf>
    <xf numFmtId="0" fontId="3" fillId="0" borderId="18" xfId="0" applyFont="1" applyBorder="1"/>
    <xf numFmtId="0" fontId="3" fillId="0" borderId="19" xfId="0" applyFont="1" applyBorder="1"/>
    <xf numFmtId="0" fontId="3" fillId="2" borderId="1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70" fontId="3" fillId="0" borderId="1" xfId="0" applyNumberFormat="1" applyFont="1" applyBorder="1"/>
    <xf numFmtId="0" fontId="11" fillId="8" borderId="1" xfId="0" applyFont="1" applyFill="1" applyBorder="1" applyAlignment="1">
      <alignment horizontal="center" vertical="center"/>
    </xf>
    <xf numFmtId="0" fontId="16" fillId="9" borderId="1" xfId="0" applyFont="1" applyFill="1" applyBorder="1"/>
    <xf numFmtId="165" fontId="3" fillId="0" borderId="1" xfId="0" applyNumberFormat="1" applyFont="1" applyBorder="1" applyAlignment="1">
      <alignment horizontal="right" vertical="center"/>
    </xf>
    <xf numFmtId="0" fontId="3" fillId="0" borderId="40" xfId="0" applyFont="1" applyBorder="1"/>
    <xf numFmtId="49" fontId="3" fillId="0" borderId="40" xfId="0" applyNumberFormat="1" applyFont="1" applyBorder="1" applyAlignment="1">
      <alignment vertical="center"/>
    </xf>
    <xf numFmtId="49" fontId="3" fillId="0" borderId="40" xfId="0" applyNumberFormat="1" applyFont="1" applyBorder="1" applyAlignment="1">
      <alignment vertical="center" wrapText="1"/>
    </xf>
    <xf numFmtId="0" fontId="3" fillId="0" borderId="40" xfId="0" applyNumberFormat="1" applyFont="1" applyBorder="1" applyAlignment="1">
      <alignment vertical="center"/>
    </xf>
    <xf numFmtId="165" fontId="3" fillId="0" borderId="40" xfId="0" applyNumberFormat="1" applyFont="1" applyBorder="1" applyAlignment="1">
      <alignment horizontal="right" vertical="center"/>
    </xf>
    <xf numFmtId="0" fontId="5" fillId="0" borderId="40" xfId="0" applyFont="1" applyBorder="1"/>
    <xf numFmtId="0" fontId="5" fillId="0" borderId="40" xfId="0" applyNumberFormat="1" applyFont="1" applyBorder="1"/>
    <xf numFmtId="167" fontId="5" fillId="0" borderId="40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/>
    </xf>
    <xf numFmtId="0" fontId="5" fillId="3" borderId="40" xfId="0" applyFont="1" applyFill="1" applyBorder="1"/>
    <xf numFmtId="0" fontId="3" fillId="0" borderId="2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right"/>
    </xf>
    <xf numFmtId="0" fontId="5" fillId="0" borderId="37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4" fillId="0" borderId="3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37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0" fontId="3" fillId="3" borderId="32" xfId="0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7" fillId="5" borderId="28" xfId="0" applyFont="1" applyFill="1" applyBorder="1" applyAlignment="1">
      <alignment horizontal="left" vertical="center"/>
    </xf>
    <xf numFmtId="0" fontId="7" fillId="5" borderId="29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0" fontId="20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17" fillId="0" borderId="38" xfId="0" applyFont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2" xr:uid="{00000000-0005-0000-0000-000001000000}"/>
    <cellStyle name="Обычный 3" xfId="4" xr:uid="{00000000-0005-0000-0000-000002000000}"/>
    <cellStyle name="Процентный" xfId="3" builtinId="5"/>
    <cellStyle name="Финансовый" xfId="1" builtinId="3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197260382801042E-2"/>
          <c:y val="0.12896016289953299"/>
          <c:w val="0.93742477755190645"/>
          <c:h val="0.73236027699927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Расчет!$N$3:$N$4</c:f>
              <c:strCache>
                <c:ptCount val="2"/>
                <c:pt idx="0">
                  <c:v>размер фонда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Расчет!$M$5:$M$10</c:f>
              <c:strCache>
                <c:ptCount val="6"/>
                <c:pt idx="0">
                  <c:v>Услуги</c:v>
                </c:pt>
                <c:pt idx="1">
                  <c:v>Материальная часть</c:v>
                </c:pt>
                <c:pt idx="2">
                  <c:v>Трудозатраты</c:v>
                </c:pt>
                <c:pt idx="3">
                  <c:v>Расходы на снабжение</c:v>
                </c:pt>
                <c:pt idx="4">
                  <c:v>Маржа на работу</c:v>
                </c:pt>
                <c:pt idx="5">
                  <c:v>Наценка торговая</c:v>
                </c:pt>
              </c:strCache>
            </c:strRef>
          </c:cat>
          <c:val>
            <c:numRef>
              <c:f>Расчет!$N$5:$N$10</c:f>
              <c:numCache>
                <c:formatCode>0.00%</c:formatCode>
                <c:ptCount val="6"/>
                <c:pt idx="0">
                  <c:v>0.191</c:v>
                </c:pt>
                <c:pt idx="1">
                  <c:v>0.30599999999999999</c:v>
                </c:pt>
                <c:pt idx="2">
                  <c:v>0.11599999999999999</c:v>
                </c:pt>
                <c:pt idx="3">
                  <c:v>4.3999999999999997E-2</c:v>
                </c:pt>
                <c:pt idx="4">
                  <c:v>4.9999999999999996E-2</c:v>
                </c:pt>
                <c:pt idx="5">
                  <c:v>0.29300000000000004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0-437E-ABAA-70938ECBB8D1}"/>
            </c:ext>
          </c:extLst>
        </c:ser>
        <c:ser>
          <c:idx val="1"/>
          <c:order val="1"/>
          <c:tx>
            <c:strRef>
              <c:f>Расчет!$O$3:$O$4</c:f>
              <c:strCache>
                <c:ptCount val="2"/>
                <c:pt idx="0">
                  <c:v>получено из сметы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Расчет!$M$5:$M$10</c:f>
              <c:strCache>
                <c:ptCount val="6"/>
                <c:pt idx="0">
                  <c:v>Услуги</c:v>
                </c:pt>
                <c:pt idx="1">
                  <c:v>Материальная часть</c:v>
                </c:pt>
                <c:pt idx="2">
                  <c:v>Трудозатраты</c:v>
                </c:pt>
                <c:pt idx="3">
                  <c:v>Расходы на снабжение</c:v>
                </c:pt>
                <c:pt idx="4">
                  <c:v>Маржа на работу</c:v>
                </c:pt>
                <c:pt idx="5">
                  <c:v>Наценка торговая</c:v>
                </c:pt>
              </c:strCache>
            </c:strRef>
          </c:cat>
          <c:val>
            <c:numRef>
              <c:f>Расчет!$O$5:$O$10</c:f>
              <c:numCache>
                <c:formatCode>0.00%</c:formatCode>
                <c:ptCount val="6"/>
                <c:pt idx="0">
                  <c:v>0.13844525044690043</c:v>
                </c:pt>
                <c:pt idx="1">
                  <c:v>0.31506976232923961</c:v>
                </c:pt>
                <c:pt idx="2">
                  <c:v>0.26995010936814701</c:v>
                </c:pt>
                <c:pt idx="3">
                  <c:v>2.2675750638807005E-2</c:v>
                </c:pt>
                <c:pt idx="4">
                  <c:v>8.0985032810444099E-2</c:v>
                </c:pt>
                <c:pt idx="5">
                  <c:v>0.16542518111870763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0-437E-ABAA-70938ECBB8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1254239376"/>
        <c:axId val="-1254243184"/>
      </c:barChart>
      <c:catAx>
        <c:axId val="-12542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4243184"/>
        <c:crosses val="autoZero"/>
        <c:auto val="1"/>
        <c:lblAlgn val="ctr"/>
        <c:lblOffset val="100"/>
        <c:noMultiLvlLbl val="0"/>
      </c:catAx>
      <c:valAx>
        <c:axId val="-1254243184"/>
        <c:scaling>
          <c:orientation val="minMax"/>
        </c:scaling>
        <c:delete val="1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crossAx val="-12542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2</xdr:row>
      <xdr:rowOff>449407</xdr:rowOff>
    </xdr:from>
    <xdr:to>
      <xdr:col>18</xdr:col>
      <xdr:colOff>339438</xdr:colOff>
      <xdr:row>10</xdr:row>
      <xdr:rowOff>47626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63500</xdr:colOff>
      <xdr:row>2</xdr:row>
      <xdr:rowOff>63500</xdr:rowOff>
    </xdr:from>
    <xdr:to>
      <xdr:col>3</xdr:col>
      <xdr:colOff>904875</xdr:colOff>
      <xdr:row>2</xdr:row>
      <xdr:rowOff>2317750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725" y="606425"/>
          <a:ext cx="3079750" cy="22542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130</xdr:row>
      <xdr:rowOff>63500</xdr:rowOff>
    </xdr:from>
    <xdr:to>
      <xdr:col>2</xdr:col>
      <xdr:colOff>1581150</xdr:colOff>
      <xdr:row>131</xdr:row>
      <xdr:rowOff>9525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27924125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142</xdr:row>
      <xdr:rowOff>63500</xdr:rowOff>
    </xdr:from>
    <xdr:to>
      <xdr:col>2</xdr:col>
      <xdr:colOff>1581150</xdr:colOff>
      <xdr:row>143</xdr:row>
      <xdr:rowOff>9525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29714825"/>
          <a:ext cx="1517650" cy="8318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151</xdr:row>
      <xdr:rowOff>63500</xdr:rowOff>
    </xdr:from>
    <xdr:to>
      <xdr:col>2</xdr:col>
      <xdr:colOff>1581150</xdr:colOff>
      <xdr:row>152</xdr:row>
      <xdr:rowOff>9525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30972125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160</xdr:row>
      <xdr:rowOff>63500</xdr:rowOff>
    </xdr:from>
    <xdr:to>
      <xdr:col>2</xdr:col>
      <xdr:colOff>1581150</xdr:colOff>
      <xdr:row>161</xdr:row>
      <xdr:rowOff>9525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32191325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169</xdr:row>
      <xdr:rowOff>63500</xdr:rowOff>
    </xdr:from>
    <xdr:to>
      <xdr:col>2</xdr:col>
      <xdr:colOff>1581150</xdr:colOff>
      <xdr:row>170</xdr:row>
      <xdr:rowOff>9525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33410525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178</xdr:row>
      <xdr:rowOff>63500</xdr:rowOff>
    </xdr:from>
    <xdr:to>
      <xdr:col>2</xdr:col>
      <xdr:colOff>1581150</xdr:colOff>
      <xdr:row>179</xdr:row>
      <xdr:rowOff>9525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34629725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187</xdr:row>
      <xdr:rowOff>63500</xdr:rowOff>
    </xdr:from>
    <xdr:to>
      <xdr:col>2</xdr:col>
      <xdr:colOff>1581150</xdr:colOff>
      <xdr:row>188</xdr:row>
      <xdr:rowOff>9525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35848925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196</xdr:row>
      <xdr:rowOff>63500</xdr:rowOff>
    </xdr:from>
    <xdr:to>
      <xdr:col>2</xdr:col>
      <xdr:colOff>1581150</xdr:colOff>
      <xdr:row>197</xdr:row>
      <xdr:rowOff>9525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37068125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205</xdr:row>
      <xdr:rowOff>63500</xdr:rowOff>
    </xdr:from>
    <xdr:to>
      <xdr:col>2</xdr:col>
      <xdr:colOff>1581150</xdr:colOff>
      <xdr:row>206</xdr:row>
      <xdr:rowOff>9525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38287325"/>
          <a:ext cx="1517650" cy="101282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216</xdr:row>
      <xdr:rowOff>63500</xdr:rowOff>
    </xdr:from>
    <xdr:to>
      <xdr:col>2</xdr:col>
      <xdr:colOff>1581150</xdr:colOff>
      <xdr:row>217</xdr:row>
      <xdr:rowOff>9525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40154225"/>
          <a:ext cx="1517650" cy="9461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225</xdr:row>
      <xdr:rowOff>63500</xdr:rowOff>
    </xdr:from>
    <xdr:to>
      <xdr:col>2</xdr:col>
      <xdr:colOff>1581150</xdr:colOff>
      <xdr:row>226</xdr:row>
      <xdr:rowOff>9525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41563925"/>
          <a:ext cx="1517650" cy="74612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234</xdr:row>
      <xdr:rowOff>63500</xdr:rowOff>
    </xdr:from>
    <xdr:to>
      <xdr:col>2</xdr:col>
      <xdr:colOff>1581150</xdr:colOff>
      <xdr:row>235</xdr:row>
      <xdr:rowOff>9525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42773600"/>
          <a:ext cx="1517650" cy="10033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243</xdr:row>
      <xdr:rowOff>63500</xdr:rowOff>
    </xdr:from>
    <xdr:to>
      <xdr:col>2</xdr:col>
      <xdr:colOff>1581150</xdr:colOff>
      <xdr:row>244</xdr:row>
      <xdr:rowOff>9525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44240450"/>
          <a:ext cx="1517650" cy="80327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253</xdr:row>
      <xdr:rowOff>63500</xdr:rowOff>
    </xdr:from>
    <xdr:to>
      <xdr:col>2</xdr:col>
      <xdr:colOff>1581150</xdr:colOff>
      <xdr:row>254</xdr:row>
      <xdr:rowOff>9525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45707300"/>
          <a:ext cx="1517650" cy="8128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262</xdr:row>
      <xdr:rowOff>63500</xdr:rowOff>
    </xdr:from>
    <xdr:to>
      <xdr:col>2</xdr:col>
      <xdr:colOff>1581150</xdr:colOff>
      <xdr:row>263</xdr:row>
      <xdr:rowOff>9525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294" y="47072176"/>
          <a:ext cx="1517650" cy="89852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271</xdr:row>
      <xdr:rowOff>63500</xdr:rowOff>
    </xdr:from>
    <xdr:to>
      <xdr:col>2</xdr:col>
      <xdr:colOff>1581150</xdr:colOff>
      <xdr:row>272</xdr:row>
      <xdr:rowOff>9525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48345725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282</xdr:row>
      <xdr:rowOff>63500</xdr:rowOff>
    </xdr:from>
    <xdr:to>
      <xdr:col>2</xdr:col>
      <xdr:colOff>1581150</xdr:colOff>
      <xdr:row>283</xdr:row>
      <xdr:rowOff>9525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49955450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291</xdr:row>
      <xdr:rowOff>63500</xdr:rowOff>
    </xdr:from>
    <xdr:to>
      <xdr:col>2</xdr:col>
      <xdr:colOff>1581150</xdr:colOff>
      <xdr:row>292</xdr:row>
      <xdr:rowOff>9525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51174650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300</xdr:row>
      <xdr:rowOff>63500</xdr:rowOff>
    </xdr:from>
    <xdr:to>
      <xdr:col>2</xdr:col>
      <xdr:colOff>1581150</xdr:colOff>
      <xdr:row>301</xdr:row>
      <xdr:rowOff>9525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52393850"/>
          <a:ext cx="1517650" cy="7556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Лазер" displayName="Лазер" ref="A2:V238" totalsRowCount="1" headerRowDxfId="65" dataDxfId="63" headerRowBorderDxfId="64" tableBorderDxfId="62">
  <autoFilter ref="A2:V23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00000000-0010-0000-0000-000001000000}" name="Поз." totalsRowLabel="Итог" dataDxfId="61" totalsRowDxfId="60"/>
    <tableColumn id="2" xr3:uid="{00000000-0010-0000-0000-000002000000}" name="Обозначение" dataDxfId="59" totalsRowDxfId="58"/>
    <tableColumn id="3" xr3:uid="{00000000-0010-0000-0000-000003000000}" name="Наименование" dataDxfId="57" totalsRowDxfId="56"/>
    <tableColumn id="4" xr3:uid="{00000000-0010-0000-0000-000004000000}" name="Кол., шт" dataDxfId="55" totalsRowDxfId="54"/>
    <tableColumn id="5" xr3:uid="{00000000-0010-0000-0000-000005000000}" name="Толщина, мм" dataDxfId="53" totalsRowDxfId="52"/>
    <tableColumn id="6" xr3:uid="{00000000-0010-0000-0000-000006000000}" name="Материал" dataDxfId="51" totalsRowDxfId="50"/>
    <tableColumn id="7" xr3:uid="{00000000-0010-0000-0000-000007000000}" name="Технология" dataDxfId="49" totalsRowDxfId="48"/>
    <tableColumn id="8" xr3:uid="{00000000-0010-0000-0000-000008000000}" name="Масса, кг" dataDxfId="47" totalsRowDxfId="46"/>
    <tableColumn id="9" xr3:uid="{00000000-0010-0000-0000-000009000000}" name="Сгибы" dataDxfId="45" totalsRowDxfId="44"/>
    <tableColumn id="10" xr3:uid="{00000000-0010-0000-0000-00000A000000}" name="Врезки" dataDxfId="43" totalsRowDxfId="42"/>
    <tableColumn id="11" xr3:uid="{00000000-0010-0000-0000-00000B000000}" name="Периметр -_x000a_Внешний, мм" dataDxfId="41" totalsRowDxfId="40"/>
    <tableColumn id="12" xr3:uid="{00000000-0010-0000-0000-00000C000000}" name="Периметр -_x000a_Внутренний, мм" dataDxfId="39" totalsRowDxfId="38"/>
    <tableColumn id="13" xr3:uid="{00000000-0010-0000-0000-00000D000000}" name="Цена материала, руб с НДС/кг" dataDxfId="37" totalsRowDxfId="36">
      <calculatedColumnFormula>VLOOKUP(F3,'Прайс Лазер'!$L$3:$M$9,2,0)</calculatedColumnFormula>
    </tableColumn>
    <tableColumn id="14" xr3:uid="{00000000-0010-0000-0000-00000E000000}" name="Цена гибки, руб с НДС/сгиб" dataDxfId="35" totalsRowDxfId="34"/>
    <tableColumn id="15" xr3:uid="{00000000-0010-0000-0000-00000F000000}" name="Цена врезки, руб с НДС/врезка" dataDxfId="33" totalsRowDxfId="32">
      <calculatedColumnFormula>VLOOKUP(E3,'Прайс Лазер'!$I$4:$J$21,2,0)</calculatedColumnFormula>
    </tableColumn>
    <tableColumn id="16" xr3:uid="{00000000-0010-0000-0000-000010000000}" name="Цена резки, руб с НДС/м" dataDxfId="31" totalsRowDxfId="30">
      <calculatedColumnFormula>HLOOKUP('Оценка лазера'!$E3,'Прайс Лазер'!$C$26:$T$34,1+VLOOKUP(F3,'Прайс Лазер'!$A$26:$B$34,2,0),0)</calculatedColumnFormula>
    </tableColumn>
    <tableColumn id="17" xr3:uid="{00000000-0010-0000-0000-000011000000}" name="Стоимость материала, руб с НДС" dataDxfId="29" totalsRowDxfId="28">
      <calculatedColumnFormula>H3*M3</calculatedColumnFormula>
    </tableColumn>
    <tableColumn id="18" xr3:uid="{00000000-0010-0000-0000-000012000000}" name="Стоимость гибки, руб с НДС" dataDxfId="27" totalsRowDxfId="26">
      <calculatedColumnFormula>I3*N3</calculatedColumnFormula>
    </tableColumn>
    <tableColumn id="19" xr3:uid="{00000000-0010-0000-0000-000013000000}" name="Стоимость _x000a_резки, руб с НДС" dataDxfId="25" totalsRowDxfId="24">
      <calculatedColumnFormula>(K3+L3)/1000*1.1*P3+(J3*O3)</calculatedColumnFormula>
    </tableColumn>
    <tableColumn id="20" xr3:uid="{00000000-0010-0000-0000-000014000000}" name="Стоимость 1 _x000a_детали, руб с НДС" dataDxfId="23" totalsRowDxfId="22">
      <calculatedColumnFormula>Q3+R3+S3</calculatedColumnFormula>
    </tableColumn>
    <tableColumn id="21" xr3:uid="{00000000-0010-0000-0000-000015000000}" name="Стоимость _x000a_комплекта, руб с НДС" dataDxfId="21" totalsRowDxfId="20">
      <calculatedColumnFormula>D3*T3</calculatedColumnFormula>
    </tableColumn>
    <tableColumn id="22" xr3:uid="{00000000-0010-0000-0000-000016000000}" name="Стоимость _x000a_комплекта, руб без НДС" totalsRowFunction="custom" dataDxfId="19" totalsRowDxfId="18">
      <calculatedColumnFormula>U3/1.2</calculatedColumnFormula>
      <totalsRowFormula>SUM(V3:V237)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:N51" totalsRowShown="0" headerRowDxfId="17" headerRowBorderDxfId="16" tableBorderDxfId="15" totalsRowBorderDxfId="14">
  <autoFilter ref="A1:N5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100-000001000000}" name="Поз." dataDxfId="13"/>
    <tableColumn id="2" xr3:uid="{00000000-0010-0000-0100-000002000000}" name="Обозначение" dataDxfId="12"/>
    <tableColumn id="3" xr3:uid="{00000000-0010-0000-0100-000003000000}" name="Наименование" dataDxfId="11"/>
    <tableColumn id="4" xr3:uid="{00000000-0010-0000-0100-000004000000}" name="Кол." dataDxfId="10"/>
    <tableColumn id="5" xr3:uid="{00000000-0010-0000-0100-000005000000}" name="Толщина, мм" dataDxfId="9"/>
    <tableColumn id="14" xr3:uid="{00000000-0010-0000-0100-00000E000000}" name="Кол.проходов" dataDxfId="8">
      <calculatedColumnFormula>CEILING(Таблица2[[#This Row],[Толщина, мм]]/5,1)</calculatedColumnFormula>
    </tableColumn>
    <tableColumn id="6" xr3:uid="{00000000-0010-0000-0100-000006000000}" name="Материал" dataDxfId="7"/>
    <tableColumn id="7" xr3:uid="{00000000-0010-0000-0100-000007000000}" name="Масса, кг" dataDxfId="6"/>
    <tableColumn id="8" xr3:uid="{00000000-0010-0000-0100-000008000000}" name="Технология" dataDxfId="5"/>
    <tableColumn id="9" xr3:uid="{00000000-0010-0000-0100-000009000000}" name="Периметр -_x000a_Внешний, мм" dataDxfId="4"/>
    <tableColumn id="10" xr3:uid="{00000000-0010-0000-0100-00000A000000}" name="Периметр -_x000a_Внутренний, мм" dataDxfId="3"/>
    <tableColumn id="11" xr3:uid="{00000000-0010-0000-0100-00000B000000}" name="Общая масса, кг" dataDxfId="2">
      <calculatedColumnFormula>D2*H2</calculatedColumnFormula>
    </tableColumn>
    <tableColumn id="12" xr3:uid="{00000000-0010-0000-0100-00000C000000}" name="Стоимость _x000a_материала, руб безНДС" dataDxfId="1">
      <calculatedColumnFormula>((H2*99)/1.2)*D2</calculatedColumnFormula>
    </tableColumn>
    <tableColumn id="13" xr3:uid="{00000000-0010-0000-0100-00000D000000}" name="Стоимость _x000a_Фрезеровки, руб без НДС" dataDxfId="0">
      <calculatedColumnFormula>(((J2+K2)/1000*1.1*30*Таблица2[[#This Row],[Кол.проходов]])/1.2)*D2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3"/>
  <sheetViews>
    <sheetView tabSelected="1" zoomScale="85" zoomScaleNormal="85" workbookViewId="0">
      <pane ySplit="2" topLeftCell="A72" activePane="bottomLeft" state="frozen"/>
      <selection pane="bottomLeft" activeCell="E132" sqref="E132"/>
    </sheetView>
  </sheetViews>
  <sheetFormatPr defaultColWidth="9.33203125" defaultRowHeight="15" outlineLevelRow="1" x14ac:dyDescent="0.2"/>
  <cols>
    <col min="1" max="1" width="4.83203125" style="1" customWidth="1"/>
    <col min="2" max="2" width="8.1640625" style="1" customWidth="1"/>
    <col min="3" max="3" width="31" style="1" customWidth="1"/>
    <col min="4" max="4" width="25.83203125" style="1" customWidth="1"/>
    <col min="5" max="5" width="11.1640625" style="1" customWidth="1"/>
    <col min="6" max="6" width="13.1640625" style="1" customWidth="1"/>
    <col min="7" max="7" width="13.5" style="1" customWidth="1"/>
    <col min="8" max="8" width="18.6640625" style="1" customWidth="1"/>
    <col min="9" max="9" width="19.1640625" style="1" customWidth="1"/>
    <col min="10" max="10" width="27" style="1" customWidth="1"/>
    <col min="11" max="11" width="19.5" style="1" bestFit="1" customWidth="1"/>
    <col min="12" max="12" width="24.6640625" style="1" bestFit="1" customWidth="1"/>
    <col min="13" max="13" width="33.5" style="1" customWidth="1"/>
    <col min="14" max="14" width="30.33203125" style="1" bestFit="1" customWidth="1"/>
    <col min="15" max="15" width="19.5" style="1" bestFit="1" customWidth="1"/>
    <col min="16" max="16" width="24.6640625" style="1" bestFit="1" customWidth="1"/>
    <col min="17" max="16384" width="9.33203125" style="1"/>
  </cols>
  <sheetData>
    <row r="1" spans="1:15" ht="26.25" customHeight="1" thickBot="1" x14ac:dyDescent="0.25">
      <c r="B1" s="198" t="s">
        <v>79</v>
      </c>
      <c r="C1" s="198"/>
      <c r="D1" s="85" t="s">
        <v>267</v>
      </c>
      <c r="E1" s="206" t="s">
        <v>197</v>
      </c>
      <c r="F1" s="206"/>
      <c r="G1" s="206"/>
      <c r="H1" s="206"/>
      <c r="I1" s="206"/>
      <c r="J1" s="117"/>
      <c r="K1"/>
      <c r="L1"/>
    </row>
    <row r="2" spans="1:15" ht="16.5" thickBot="1" x14ac:dyDescent="0.25">
      <c r="B2" s="202" t="s">
        <v>77</v>
      </c>
      <c r="C2" s="203"/>
      <c r="D2" s="90">
        <v>69</v>
      </c>
      <c r="E2" s="206"/>
      <c r="F2" s="206"/>
      <c r="G2" s="206"/>
      <c r="H2" s="206"/>
      <c r="I2" s="206"/>
      <c r="J2" s="117"/>
      <c r="K2"/>
      <c r="L2"/>
    </row>
    <row r="3" spans="1:15" ht="217.5" customHeight="1" x14ac:dyDescent="0.2">
      <c r="A3" s="84" t="s">
        <v>69</v>
      </c>
      <c r="B3" s="204"/>
      <c r="C3" s="204"/>
      <c r="D3" s="204"/>
      <c r="E3" s="197"/>
      <c r="F3" s="197"/>
      <c r="G3" s="197"/>
      <c r="H3" s="197"/>
      <c r="L3"/>
      <c r="N3" s="141" t="str">
        <f>F85</f>
        <v>размер фонда</v>
      </c>
      <c r="O3" s="1" t="str">
        <f>G85</f>
        <v>получено из сметы</v>
      </c>
    </row>
    <row r="4" spans="1:15" ht="31.5" customHeight="1" x14ac:dyDescent="0.2">
      <c r="B4" s="205" t="s">
        <v>70</v>
      </c>
      <c r="C4" s="205"/>
      <c r="D4" s="30" t="s">
        <v>268</v>
      </c>
      <c r="E4" s="207" t="s">
        <v>196</v>
      </c>
      <c r="F4" s="208"/>
      <c r="G4" s="209"/>
      <c r="H4" s="26">
        <v>30</v>
      </c>
      <c r="I4" s="153" t="s">
        <v>122</v>
      </c>
      <c r="J4" s="154">
        <f>H79/D6</f>
        <v>219446.26201376601</v>
      </c>
      <c r="K4" s="153" t="s">
        <v>123</v>
      </c>
      <c r="L4"/>
    </row>
    <row r="5" spans="1:15" x14ac:dyDescent="0.2">
      <c r="B5" s="199" t="s">
        <v>71</v>
      </c>
      <c r="C5" s="199"/>
      <c r="D5" s="30" t="s">
        <v>269</v>
      </c>
      <c r="I5"/>
      <c r="J5"/>
      <c r="K5"/>
      <c r="L5"/>
      <c r="M5" s="1" t="str">
        <f>B86</f>
        <v>Услуги</v>
      </c>
      <c r="N5" s="125">
        <f>F86</f>
        <v>0.191</v>
      </c>
      <c r="O5" s="125">
        <f>G86</f>
        <v>0.13844525044690043</v>
      </c>
    </row>
    <row r="6" spans="1:15" x14ac:dyDescent="0.2">
      <c r="B6" s="199" t="s">
        <v>72</v>
      </c>
      <c r="C6" s="199"/>
      <c r="D6" s="26">
        <v>0.22</v>
      </c>
      <c r="I6"/>
      <c r="J6"/>
      <c r="K6"/>
      <c r="L6"/>
      <c r="M6" s="1" t="str">
        <f>B89</f>
        <v>Материальная часть</v>
      </c>
      <c r="N6" s="125">
        <f>F89</f>
        <v>0.30599999999999999</v>
      </c>
      <c r="O6" s="125">
        <f>G89</f>
        <v>0.31506976232923961</v>
      </c>
    </row>
    <row r="7" spans="1:15" x14ac:dyDescent="0.2">
      <c r="B7" s="199" t="s">
        <v>73</v>
      </c>
      <c r="C7" s="199"/>
      <c r="D7" s="26" t="s">
        <v>270</v>
      </c>
      <c r="I7"/>
      <c r="J7"/>
      <c r="K7"/>
      <c r="L7"/>
      <c r="M7" s="1" t="str">
        <f>B92</f>
        <v>Трудозатраты</v>
      </c>
      <c r="N7" s="125">
        <f>F92</f>
        <v>0.11599999999999999</v>
      </c>
      <c r="O7" s="125">
        <f>G92</f>
        <v>0.26995010936814701</v>
      </c>
    </row>
    <row r="8" spans="1:15" x14ac:dyDescent="0.2">
      <c r="B8" s="199" t="s">
        <v>74</v>
      </c>
      <c r="C8" s="199"/>
      <c r="D8" s="26">
        <v>2004</v>
      </c>
      <c r="I8"/>
      <c r="J8"/>
      <c r="K8"/>
      <c r="L8"/>
      <c r="M8" s="1" t="str">
        <f>B98</f>
        <v>Расходы на снабжение</v>
      </c>
      <c r="N8" s="125">
        <f>F98</f>
        <v>4.3999999999999997E-2</v>
      </c>
      <c r="O8" s="125">
        <f>G98</f>
        <v>2.2675750638807005E-2</v>
      </c>
    </row>
    <row r="9" spans="1:15" x14ac:dyDescent="0.2">
      <c r="B9" s="201" t="s">
        <v>76</v>
      </c>
      <c r="C9" s="201"/>
      <c r="D9" s="29">
        <v>16</v>
      </c>
      <c r="I9"/>
      <c r="J9"/>
      <c r="K9"/>
      <c r="L9"/>
      <c r="M9" s="1" t="str">
        <f>B106</f>
        <v>Маржа на работу</v>
      </c>
      <c r="N9" s="125">
        <f>F106</f>
        <v>4.9999999999999996E-2</v>
      </c>
      <c r="O9" s="125">
        <f>G106</f>
        <v>8.0985032810444099E-2</v>
      </c>
    </row>
    <row r="10" spans="1:15" ht="27" customHeight="1" x14ac:dyDescent="0.2">
      <c r="B10" s="200" t="s">
        <v>75</v>
      </c>
      <c r="C10" s="200"/>
      <c r="D10" s="200"/>
      <c r="E10" s="200"/>
      <c r="F10" s="200"/>
      <c r="G10" s="200"/>
      <c r="H10" s="200"/>
      <c r="I10"/>
      <c r="J10"/>
      <c r="K10"/>
      <c r="L10"/>
      <c r="M10" s="1" t="str">
        <f>B111</f>
        <v>Наценка торговая</v>
      </c>
      <c r="N10" s="125">
        <f>F111</f>
        <v>0.29300000000000004</v>
      </c>
      <c r="O10" s="125">
        <f>G111</f>
        <v>0.16542518111870763</v>
      </c>
    </row>
    <row r="11" spans="1:15" ht="100.5" customHeight="1" x14ac:dyDescent="0.2">
      <c r="B11" s="210" t="s">
        <v>271</v>
      </c>
      <c r="C11" s="210"/>
      <c r="D11" s="210"/>
      <c r="E11" s="210"/>
      <c r="F11" s="210"/>
      <c r="G11" s="210"/>
      <c r="H11" s="210"/>
      <c r="I11"/>
      <c r="J11"/>
      <c r="K11"/>
      <c r="L11"/>
    </row>
    <row r="12" spans="1:15" x14ac:dyDescent="0.2">
      <c r="I12"/>
      <c r="J12"/>
      <c r="K12"/>
      <c r="L12"/>
    </row>
    <row r="13" spans="1:15" ht="27.75" customHeight="1" x14ac:dyDescent="0.2">
      <c r="B13" s="178" t="s">
        <v>18</v>
      </c>
      <c r="C13" s="178"/>
      <c r="D13" s="178"/>
      <c r="E13" s="178"/>
      <c r="F13" s="178"/>
      <c r="G13" s="178"/>
      <c r="H13" s="178"/>
      <c r="I13"/>
      <c r="J13"/>
      <c r="K13"/>
      <c r="L13"/>
    </row>
    <row r="14" spans="1:15" x14ac:dyDescent="0.2">
      <c r="I14"/>
      <c r="J14"/>
      <c r="K14"/>
      <c r="L14"/>
    </row>
    <row r="15" spans="1:15" ht="77.25" customHeight="1" x14ac:dyDescent="0.2"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10" t="s">
        <v>191</v>
      </c>
      <c r="H15" s="10" t="s">
        <v>192</v>
      </c>
      <c r="I15" s="10" t="s">
        <v>193</v>
      </c>
      <c r="J15" s="10" t="s">
        <v>194</v>
      </c>
      <c r="K15" s="10" t="s">
        <v>195</v>
      </c>
      <c r="L15"/>
    </row>
    <row r="16" spans="1:15" ht="24.75" customHeight="1" x14ac:dyDescent="0.25">
      <c r="B16" s="179" t="s">
        <v>118</v>
      </c>
      <c r="C16" s="184"/>
      <c r="D16" s="184"/>
      <c r="E16" s="184"/>
      <c r="F16" s="184"/>
      <c r="G16" s="180"/>
      <c r="H16" s="8">
        <f>SUM(H17:H25)</f>
        <v>8080.8548610416674</v>
      </c>
      <c r="I16" s="13"/>
      <c r="J16" s="13"/>
      <c r="K16" s="13"/>
      <c r="L16"/>
    </row>
    <row r="17" spans="2:12" x14ac:dyDescent="0.2">
      <c r="B17" s="26">
        <v>1</v>
      </c>
      <c r="C17" s="110" t="s">
        <v>80</v>
      </c>
      <c r="D17" s="193" t="s">
        <v>81</v>
      </c>
      <c r="E17" s="194"/>
      <c r="F17" s="194"/>
      <c r="G17" s="195"/>
      <c r="H17" s="149">
        <f>Лазер[[#Totals],[Стоимость 
комплекта, руб без НДС]]</f>
        <v>7521.8548610416674</v>
      </c>
      <c r="I17" s="13"/>
      <c r="J17" s="151"/>
      <c r="K17" s="13"/>
      <c r="L17"/>
    </row>
    <row r="18" spans="2:12" x14ac:dyDescent="0.2">
      <c r="B18" s="26">
        <v>2</v>
      </c>
      <c r="C18" s="110" t="s">
        <v>80</v>
      </c>
      <c r="D18" s="193" t="s">
        <v>114</v>
      </c>
      <c r="E18" s="194"/>
      <c r="F18" s="194"/>
      <c r="G18" s="195"/>
      <c r="H18" s="149">
        <v>0</v>
      </c>
      <c r="I18" s="13"/>
      <c r="J18" s="13"/>
      <c r="K18" s="13"/>
      <c r="L18"/>
    </row>
    <row r="19" spans="2:12" x14ac:dyDescent="0.2">
      <c r="B19" s="26">
        <v>3</v>
      </c>
      <c r="C19" s="110" t="s">
        <v>80</v>
      </c>
      <c r="D19" s="193" t="s">
        <v>187</v>
      </c>
      <c r="E19" s="194"/>
      <c r="F19" s="194"/>
      <c r="G19" s="195"/>
      <c r="H19" s="149">
        <v>0</v>
      </c>
      <c r="I19" s="13"/>
      <c r="J19" s="13"/>
      <c r="K19" s="13"/>
      <c r="L19"/>
    </row>
    <row r="20" spans="2:12" x14ac:dyDescent="0.2">
      <c r="B20" s="26">
        <v>4</v>
      </c>
      <c r="C20" s="110" t="s">
        <v>80</v>
      </c>
      <c r="D20" s="193" t="s">
        <v>115</v>
      </c>
      <c r="E20" s="194"/>
      <c r="F20" s="194"/>
      <c r="G20" s="195"/>
      <c r="H20" s="149">
        <v>559</v>
      </c>
      <c r="I20" s="13"/>
      <c r="J20" s="13"/>
      <c r="K20" s="13"/>
      <c r="L20"/>
    </row>
    <row r="21" spans="2:12" x14ac:dyDescent="0.2">
      <c r="B21" s="26">
        <v>5</v>
      </c>
      <c r="C21" s="110" t="s">
        <v>80</v>
      </c>
      <c r="D21" s="193" t="s">
        <v>119</v>
      </c>
      <c r="E21" s="194"/>
      <c r="F21" s="194"/>
      <c r="G21" s="195"/>
      <c r="H21" s="149">
        <v>0</v>
      </c>
      <c r="I21" s="13"/>
      <c r="J21" s="13"/>
      <c r="K21" s="13"/>
      <c r="L21"/>
    </row>
    <row r="22" spans="2:12" x14ac:dyDescent="0.2">
      <c r="B22" s="26">
        <v>6</v>
      </c>
      <c r="C22" s="110" t="s">
        <v>80</v>
      </c>
      <c r="D22" s="193" t="s">
        <v>116</v>
      </c>
      <c r="E22" s="194"/>
      <c r="F22" s="194"/>
      <c r="G22" s="195"/>
      <c r="H22" s="149">
        <v>0</v>
      </c>
      <c r="I22" s="13"/>
      <c r="J22" s="13"/>
      <c r="K22" s="13"/>
      <c r="L22"/>
    </row>
    <row r="23" spans="2:12" x14ac:dyDescent="0.2">
      <c r="B23" s="26">
        <v>7</v>
      </c>
      <c r="C23" s="110" t="s">
        <v>80</v>
      </c>
      <c r="D23" s="193" t="s">
        <v>126</v>
      </c>
      <c r="E23" s="194"/>
      <c r="F23" s="194"/>
      <c r="G23" s="195"/>
      <c r="H23" s="149">
        <v>0</v>
      </c>
      <c r="I23" s="13"/>
      <c r="J23" s="13"/>
      <c r="K23" s="13"/>
      <c r="L23"/>
    </row>
    <row r="24" spans="2:12" x14ac:dyDescent="0.2">
      <c r="B24" s="26">
        <v>8</v>
      </c>
      <c r="C24" s="110" t="s">
        <v>80</v>
      </c>
      <c r="D24" s="193" t="s">
        <v>188</v>
      </c>
      <c r="E24" s="194"/>
      <c r="F24" s="194"/>
      <c r="G24" s="195"/>
      <c r="H24" s="149">
        <v>0</v>
      </c>
      <c r="I24" s="13"/>
      <c r="J24" s="13"/>
      <c r="K24" s="13"/>
      <c r="L24"/>
    </row>
    <row r="25" spans="2:12" x14ac:dyDescent="0.2">
      <c r="B25" s="26">
        <v>9</v>
      </c>
      <c r="C25" s="110" t="s">
        <v>80</v>
      </c>
      <c r="D25" s="193" t="s">
        <v>127</v>
      </c>
      <c r="E25" s="194"/>
      <c r="F25" s="194"/>
      <c r="G25" s="195"/>
      <c r="H25" s="149">
        <v>0</v>
      </c>
      <c r="I25" s="13"/>
      <c r="J25" s="13"/>
      <c r="K25" s="13"/>
      <c r="L25"/>
    </row>
    <row r="26" spans="2:12" ht="27" customHeight="1" x14ac:dyDescent="0.25">
      <c r="B26" s="179" t="s">
        <v>120</v>
      </c>
      <c r="C26" s="184"/>
      <c r="D26" s="184"/>
      <c r="E26" s="184"/>
      <c r="F26" s="184"/>
      <c r="G26" s="180"/>
      <c r="H26" s="8">
        <f>SUM($H$27:$H$57)</f>
        <v>18390.179599999996</v>
      </c>
      <c r="I26" s="13"/>
      <c r="J26" s="13"/>
      <c r="K26" s="13"/>
      <c r="L26"/>
    </row>
    <row r="27" spans="2:12" x14ac:dyDescent="0.2">
      <c r="B27" s="26">
        <v>1</v>
      </c>
      <c r="C27" s="9" t="s">
        <v>30</v>
      </c>
      <c r="D27" s="34" t="s">
        <v>270</v>
      </c>
      <c r="E27" s="9" t="s">
        <v>272</v>
      </c>
      <c r="F27" s="91">
        <v>3.528</v>
      </c>
      <c r="G27" s="9">
        <v>450</v>
      </c>
      <c r="H27" s="164">
        <f>$F$27*$G$27</f>
        <v>1587.6</v>
      </c>
      <c r="I27" s="13"/>
      <c r="J27" s="13"/>
      <c r="K27" s="13"/>
      <c r="L27"/>
    </row>
    <row r="28" spans="2:12" x14ac:dyDescent="0.2">
      <c r="B28" s="165">
        <v>2</v>
      </c>
      <c r="C28" s="166" t="s">
        <v>30</v>
      </c>
      <c r="D28" s="167" t="s">
        <v>273</v>
      </c>
      <c r="E28" s="166" t="s">
        <v>274</v>
      </c>
      <c r="F28" s="168">
        <v>0.63800000000000001</v>
      </c>
      <c r="G28" s="166">
        <v>42</v>
      </c>
      <c r="H28" s="169">
        <f>$F$28*$G$28</f>
        <v>26.795999999999999</v>
      </c>
      <c r="I28" s="13"/>
      <c r="J28" s="13"/>
      <c r="K28" s="13"/>
      <c r="L28"/>
    </row>
    <row r="29" spans="2:12" x14ac:dyDescent="0.2">
      <c r="B29" s="165">
        <v>3</v>
      </c>
      <c r="C29" s="166" t="s">
        <v>30</v>
      </c>
      <c r="D29" s="167" t="s">
        <v>275</v>
      </c>
      <c r="E29" s="166" t="s">
        <v>274</v>
      </c>
      <c r="F29" s="168">
        <v>2.0019999999999998</v>
      </c>
      <c r="G29" s="166">
        <v>99</v>
      </c>
      <c r="H29" s="169">
        <f>$F$29*$G$29</f>
        <v>198.19799999999998</v>
      </c>
      <c r="I29" s="13"/>
      <c r="J29" s="13"/>
      <c r="K29" s="13"/>
      <c r="L29"/>
    </row>
    <row r="30" spans="2:12" x14ac:dyDescent="0.2">
      <c r="B30" s="165">
        <v>4</v>
      </c>
      <c r="C30" s="166" t="s">
        <v>30</v>
      </c>
      <c r="D30" s="167" t="s">
        <v>276</v>
      </c>
      <c r="E30" s="166" t="s">
        <v>274</v>
      </c>
      <c r="F30" s="168">
        <v>1.6830000000000001</v>
      </c>
      <c r="G30" s="166">
        <v>532</v>
      </c>
      <c r="H30" s="169">
        <f>$F$30*$G$30</f>
        <v>895.35599999999999</v>
      </c>
      <c r="I30" s="13"/>
      <c r="J30" s="13"/>
      <c r="K30" s="13"/>
      <c r="L30"/>
    </row>
    <row r="31" spans="2:12" x14ac:dyDescent="0.2">
      <c r="B31" s="165">
        <v>5</v>
      </c>
      <c r="C31" s="166" t="s">
        <v>30</v>
      </c>
      <c r="D31" s="167" t="s">
        <v>277</v>
      </c>
      <c r="E31" s="166" t="s">
        <v>274</v>
      </c>
      <c r="F31" s="168">
        <v>2.0680000000000001</v>
      </c>
      <c r="G31" s="166">
        <v>250</v>
      </c>
      <c r="H31" s="169">
        <f>$F$31*$G$31</f>
        <v>517</v>
      </c>
      <c r="I31" s="13"/>
      <c r="J31" s="13"/>
      <c r="K31" s="13"/>
      <c r="L31"/>
    </row>
    <row r="32" spans="2:12" x14ac:dyDescent="0.2">
      <c r="B32" s="165">
        <v>6</v>
      </c>
      <c r="C32" s="166" t="s">
        <v>30</v>
      </c>
      <c r="D32" s="167" t="s">
        <v>278</v>
      </c>
      <c r="E32" s="166" t="s">
        <v>274</v>
      </c>
      <c r="F32" s="168">
        <v>4.4241999999999999</v>
      </c>
      <c r="G32" s="166">
        <v>192</v>
      </c>
      <c r="H32" s="169">
        <f>$F$32*$G$32</f>
        <v>849.44640000000004</v>
      </c>
      <c r="I32" s="13"/>
      <c r="J32" s="13"/>
      <c r="K32" s="13"/>
      <c r="L32"/>
    </row>
    <row r="33" spans="2:12" x14ac:dyDescent="0.2">
      <c r="B33" s="165">
        <v>7</v>
      </c>
      <c r="C33" s="166" t="s">
        <v>30</v>
      </c>
      <c r="D33" s="167" t="s">
        <v>279</v>
      </c>
      <c r="E33" s="166" t="s">
        <v>274</v>
      </c>
      <c r="F33" s="168">
        <v>5.5747999999999998</v>
      </c>
      <c r="G33" s="166">
        <v>258</v>
      </c>
      <c r="H33" s="169">
        <f>$F$33*$G$33</f>
        <v>1438.2983999999999</v>
      </c>
      <c r="I33" s="13"/>
      <c r="J33" s="13"/>
      <c r="K33" s="13"/>
      <c r="L33"/>
    </row>
    <row r="34" spans="2:12" x14ac:dyDescent="0.2">
      <c r="B34" s="165">
        <v>8</v>
      </c>
      <c r="C34" s="166" t="s">
        <v>30</v>
      </c>
      <c r="D34" s="167" t="s">
        <v>280</v>
      </c>
      <c r="E34" s="166" t="s">
        <v>274</v>
      </c>
      <c r="F34" s="168">
        <v>2.2000000000000002</v>
      </c>
      <c r="G34" s="166">
        <v>232</v>
      </c>
      <c r="H34" s="169">
        <f>$F$34*$G$34</f>
        <v>510.40000000000003</v>
      </c>
      <c r="I34" s="13"/>
      <c r="J34" s="13"/>
      <c r="K34" s="13"/>
      <c r="L34"/>
    </row>
    <row r="35" spans="2:12" x14ac:dyDescent="0.2">
      <c r="B35" s="165">
        <v>9</v>
      </c>
      <c r="C35" s="166" t="s">
        <v>30</v>
      </c>
      <c r="D35" s="167" t="s">
        <v>281</v>
      </c>
      <c r="E35" s="166" t="s">
        <v>274</v>
      </c>
      <c r="F35" s="168">
        <v>5.3019999999999996</v>
      </c>
      <c r="G35" s="166">
        <v>318</v>
      </c>
      <c r="H35" s="169">
        <f>$F$35*$G$35</f>
        <v>1686.0359999999998</v>
      </c>
      <c r="I35" s="13"/>
      <c r="J35" s="13"/>
      <c r="K35" s="13"/>
      <c r="L35"/>
    </row>
    <row r="36" spans="2:12" x14ac:dyDescent="0.2">
      <c r="B36" s="165">
        <v>10</v>
      </c>
      <c r="C36" s="166" t="s">
        <v>30</v>
      </c>
      <c r="D36" s="167" t="s">
        <v>282</v>
      </c>
      <c r="E36" s="166" t="s">
        <v>274</v>
      </c>
      <c r="F36" s="168">
        <v>5.9135999999999997</v>
      </c>
      <c r="G36" s="166">
        <v>408</v>
      </c>
      <c r="H36" s="169">
        <f>$F$36*$G$36</f>
        <v>2412.7487999999998</v>
      </c>
      <c r="I36" s="13"/>
      <c r="J36" s="13"/>
      <c r="K36" s="13"/>
      <c r="L36"/>
    </row>
    <row r="37" spans="2:12" x14ac:dyDescent="0.2">
      <c r="B37" s="165">
        <v>11</v>
      </c>
      <c r="C37" s="166" t="s">
        <v>30</v>
      </c>
      <c r="D37" s="167" t="s">
        <v>283</v>
      </c>
      <c r="E37" s="166" t="s">
        <v>274</v>
      </c>
      <c r="F37" s="168">
        <v>8.7999999999999995E-2</v>
      </c>
      <c r="G37" s="166">
        <v>100</v>
      </c>
      <c r="H37" s="169">
        <f>$F$37*$G$37</f>
        <v>8.7999999999999989</v>
      </c>
      <c r="I37" s="13"/>
      <c r="J37" s="13"/>
      <c r="K37" s="13"/>
      <c r="L37"/>
    </row>
    <row r="38" spans="2:12" ht="30" x14ac:dyDescent="0.2">
      <c r="B38" s="165">
        <v>12</v>
      </c>
      <c r="C38" s="166" t="s">
        <v>30</v>
      </c>
      <c r="D38" s="167" t="s">
        <v>360</v>
      </c>
      <c r="E38" s="166" t="s">
        <v>361</v>
      </c>
      <c r="F38" s="168">
        <v>1</v>
      </c>
      <c r="G38" s="166" t="s">
        <v>362</v>
      </c>
      <c r="H38" s="169">
        <f>F38*G38</f>
        <v>825</v>
      </c>
      <c r="I38" s="13"/>
      <c r="J38" s="13"/>
      <c r="K38" s="13"/>
      <c r="L38"/>
    </row>
    <row r="39" spans="2:12" ht="45" x14ac:dyDescent="0.2">
      <c r="B39" s="165">
        <v>13</v>
      </c>
      <c r="C39" s="166" t="s">
        <v>30</v>
      </c>
      <c r="D39" s="167" t="s">
        <v>284</v>
      </c>
      <c r="E39" s="166" t="s">
        <v>274</v>
      </c>
      <c r="F39" s="168">
        <v>10.45</v>
      </c>
      <c r="G39" s="166">
        <v>40</v>
      </c>
      <c r="H39" s="169">
        <f>$F$39*$G$39</f>
        <v>418</v>
      </c>
      <c r="I39" s="13"/>
      <c r="J39" s="13"/>
      <c r="K39" s="13"/>
      <c r="L39"/>
    </row>
    <row r="40" spans="2:12" ht="30" x14ac:dyDescent="0.2">
      <c r="B40" s="165">
        <v>14</v>
      </c>
      <c r="C40" s="166" t="s">
        <v>117</v>
      </c>
      <c r="D40" s="167" t="s">
        <v>255</v>
      </c>
      <c r="E40" s="166" t="s">
        <v>285</v>
      </c>
      <c r="F40" s="168">
        <v>4</v>
      </c>
      <c r="G40" s="166">
        <v>7</v>
      </c>
      <c r="H40" s="169">
        <f>$F$40*$G$40</f>
        <v>28</v>
      </c>
      <c r="I40" s="13"/>
      <c r="J40" s="13"/>
      <c r="K40" s="13"/>
      <c r="L40"/>
    </row>
    <row r="41" spans="2:12" ht="30" x14ac:dyDescent="0.2">
      <c r="B41" s="165">
        <v>15</v>
      </c>
      <c r="C41" s="166" t="s">
        <v>117</v>
      </c>
      <c r="D41" s="167" t="s">
        <v>256</v>
      </c>
      <c r="E41" s="166" t="s">
        <v>285</v>
      </c>
      <c r="F41" s="168">
        <v>4</v>
      </c>
      <c r="G41" s="166">
        <v>8</v>
      </c>
      <c r="H41" s="169">
        <f>$F$41*$G$41</f>
        <v>32</v>
      </c>
      <c r="I41" s="13"/>
      <c r="J41" s="13"/>
      <c r="K41" s="13"/>
      <c r="L41"/>
    </row>
    <row r="42" spans="2:12" x14ac:dyDescent="0.2">
      <c r="B42" s="165">
        <v>16</v>
      </c>
      <c r="C42" s="166" t="s">
        <v>117</v>
      </c>
      <c r="D42" s="167" t="s">
        <v>257</v>
      </c>
      <c r="E42" s="166" t="s">
        <v>285</v>
      </c>
      <c r="F42" s="168">
        <v>8</v>
      </c>
      <c r="G42" s="166">
        <v>3</v>
      </c>
      <c r="H42" s="169">
        <f>$F$42*$G$42</f>
        <v>24</v>
      </c>
      <c r="I42" s="13"/>
      <c r="J42" s="13"/>
      <c r="K42" s="13"/>
      <c r="L42"/>
    </row>
    <row r="43" spans="2:12" ht="30" x14ac:dyDescent="0.2">
      <c r="B43" s="165">
        <v>17</v>
      </c>
      <c r="C43" s="166" t="s">
        <v>117</v>
      </c>
      <c r="D43" s="167" t="s">
        <v>258</v>
      </c>
      <c r="E43" s="166" t="s">
        <v>285</v>
      </c>
      <c r="F43" s="168">
        <v>11</v>
      </c>
      <c r="G43" s="166">
        <v>3</v>
      </c>
      <c r="H43" s="169">
        <f>$F$43*$G$43</f>
        <v>33</v>
      </c>
      <c r="I43" s="13"/>
      <c r="J43" s="13"/>
      <c r="K43" s="13"/>
      <c r="L43"/>
    </row>
    <row r="44" spans="2:12" ht="30" x14ac:dyDescent="0.2">
      <c r="B44" s="165">
        <v>18</v>
      </c>
      <c r="C44" s="166" t="s">
        <v>117</v>
      </c>
      <c r="D44" s="167" t="s">
        <v>259</v>
      </c>
      <c r="E44" s="166" t="s">
        <v>285</v>
      </c>
      <c r="F44" s="168">
        <v>16</v>
      </c>
      <c r="G44" s="166">
        <v>3</v>
      </c>
      <c r="H44" s="169">
        <f>$F$44*$G$44</f>
        <v>48</v>
      </c>
      <c r="I44" s="13"/>
      <c r="J44" s="13"/>
      <c r="K44" s="13"/>
      <c r="L44"/>
    </row>
    <row r="45" spans="2:12" ht="30" x14ac:dyDescent="0.2">
      <c r="B45" s="165">
        <v>19</v>
      </c>
      <c r="C45" s="166" t="s">
        <v>117</v>
      </c>
      <c r="D45" s="167" t="s">
        <v>260</v>
      </c>
      <c r="E45" s="166" t="s">
        <v>285</v>
      </c>
      <c r="F45" s="168">
        <v>2</v>
      </c>
      <c r="G45" s="166">
        <v>4</v>
      </c>
      <c r="H45" s="169">
        <f>$F$45*$G$45</f>
        <v>8</v>
      </c>
      <c r="I45" s="13"/>
      <c r="J45" s="13"/>
      <c r="K45" s="13"/>
      <c r="L45"/>
    </row>
    <row r="46" spans="2:12" ht="30" x14ac:dyDescent="0.2">
      <c r="B46" s="165">
        <v>20</v>
      </c>
      <c r="C46" s="166" t="s">
        <v>117</v>
      </c>
      <c r="D46" s="167" t="s">
        <v>261</v>
      </c>
      <c r="E46" s="166" t="s">
        <v>285</v>
      </c>
      <c r="F46" s="168">
        <v>6</v>
      </c>
      <c r="G46" s="166">
        <v>4</v>
      </c>
      <c r="H46" s="169">
        <f>$F$46*$G$46</f>
        <v>24</v>
      </c>
      <c r="I46" s="13"/>
      <c r="J46" s="13"/>
      <c r="K46" s="13"/>
      <c r="L46"/>
    </row>
    <row r="47" spans="2:12" ht="30" x14ac:dyDescent="0.2">
      <c r="B47" s="165">
        <v>21</v>
      </c>
      <c r="C47" s="166" t="s">
        <v>117</v>
      </c>
      <c r="D47" s="167" t="s">
        <v>262</v>
      </c>
      <c r="E47" s="166" t="s">
        <v>285</v>
      </c>
      <c r="F47" s="168">
        <v>6</v>
      </c>
      <c r="G47" s="166">
        <v>2</v>
      </c>
      <c r="H47" s="169">
        <f>$F$47*$G$47</f>
        <v>12</v>
      </c>
      <c r="I47" s="13"/>
      <c r="J47" s="13"/>
      <c r="K47" s="13"/>
      <c r="L47"/>
    </row>
    <row r="48" spans="2:12" ht="30" x14ac:dyDescent="0.2">
      <c r="B48" s="165">
        <v>22</v>
      </c>
      <c r="C48" s="166" t="s">
        <v>117</v>
      </c>
      <c r="D48" s="167" t="s">
        <v>263</v>
      </c>
      <c r="E48" s="166" t="s">
        <v>285</v>
      </c>
      <c r="F48" s="168">
        <v>6</v>
      </c>
      <c r="G48" s="166">
        <v>1</v>
      </c>
      <c r="H48" s="169">
        <f>$F$48*$G$48</f>
        <v>6</v>
      </c>
      <c r="I48" s="13"/>
      <c r="J48" s="13"/>
      <c r="K48" s="13"/>
      <c r="L48"/>
    </row>
    <row r="49" spans="1:12" ht="30" x14ac:dyDescent="0.2">
      <c r="B49" s="165">
        <v>23</v>
      </c>
      <c r="C49" s="166" t="s">
        <v>117</v>
      </c>
      <c r="D49" s="167" t="s">
        <v>264</v>
      </c>
      <c r="E49" s="166" t="s">
        <v>285</v>
      </c>
      <c r="F49" s="168">
        <v>8</v>
      </c>
      <c r="G49" s="166">
        <v>1</v>
      </c>
      <c r="H49" s="169">
        <f>$F$49*$G$49</f>
        <v>8</v>
      </c>
      <c r="I49" s="13"/>
      <c r="J49" s="13"/>
      <c r="K49" s="13"/>
      <c r="L49"/>
    </row>
    <row r="50" spans="1:12" ht="30" x14ac:dyDescent="0.2">
      <c r="B50" s="165">
        <v>24</v>
      </c>
      <c r="C50" s="166" t="s">
        <v>117</v>
      </c>
      <c r="D50" s="167" t="s">
        <v>265</v>
      </c>
      <c r="E50" s="166" t="s">
        <v>285</v>
      </c>
      <c r="F50" s="168">
        <v>8</v>
      </c>
      <c r="G50" s="166">
        <v>3</v>
      </c>
      <c r="H50" s="169">
        <f>$F$50*$G$50</f>
        <v>24</v>
      </c>
      <c r="I50" s="13"/>
      <c r="J50" s="13"/>
      <c r="K50" s="13"/>
      <c r="L50"/>
    </row>
    <row r="51" spans="1:12" ht="30" x14ac:dyDescent="0.2">
      <c r="B51" s="165">
        <v>25</v>
      </c>
      <c r="C51" s="166" t="s">
        <v>117</v>
      </c>
      <c r="D51" s="167" t="s">
        <v>266</v>
      </c>
      <c r="E51" s="166" t="s">
        <v>285</v>
      </c>
      <c r="F51" s="168">
        <v>4</v>
      </c>
      <c r="G51" s="166">
        <v>10</v>
      </c>
      <c r="H51" s="169">
        <f>$F$51*$G$51</f>
        <v>40</v>
      </c>
      <c r="I51" s="13"/>
      <c r="J51" s="13"/>
      <c r="K51" s="13"/>
      <c r="L51"/>
    </row>
    <row r="52" spans="1:12" x14ac:dyDescent="0.2">
      <c r="B52" s="165">
        <v>26</v>
      </c>
      <c r="C52" s="166" t="s">
        <v>249</v>
      </c>
      <c r="D52" s="167" t="s">
        <v>248</v>
      </c>
      <c r="E52" s="166" t="s">
        <v>285</v>
      </c>
      <c r="F52" s="168">
        <v>2</v>
      </c>
      <c r="G52" s="166">
        <v>500</v>
      </c>
      <c r="H52" s="169">
        <f>$F$52*$G$52</f>
        <v>1000</v>
      </c>
      <c r="I52" s="13"/>
      <c r="J52" s="13"/>
      <c r="K52" s="13"/>
      <c r="L52"/>
    </row>
    <row r="53" spans="1:12" x14ac:dyDescent="0.2">
      <c r="B53" s="165">
        <v>27</v>
      </c>
      <c r="C53" s="166" t="s">
        <v>249</v>
      </c>
      <c r="D53" s="167" t="s">
        <v>251</v>
      </c>
      <c r="E53" s="166" t="s">
        <v>285</v>
      </c>
      <c r="F53" s="168">
        <v>4</v>
      </c>
      <c r="G53" s="166">
        <v>500</v>
      </c>
      <c r="H53" s="169">
        <f>$F$53*$G$53</f>
        <v>2000</v>
      </c>
      <c r="I53" s="13"/>
      <c r="J53" s="13"/>
      <c r="K53" s="13"/>
      <c r="L53"/>
    </row>
    <row r="54" spans="1:12" x14ac:dyDescent="0.2">
      <c r="B54" s="165">
        <v>28</v>
      </c>
      <c r="C54" s="166" t="s">
        <v>249</v>
      </c>
      <c r="D54" s="167" t="s">
        <v>250</v>
      </c>
      <c r="E54" s="166" t="s">
        <v>285</v>
      </c>
      <c r="F54" s="168">
        <v>1</v>
      </c>
      <c r="G54" s="166">
        <v>100</v>
      </c>
      <c r="H54" s="169">
        <f>$F$54*$G$54</f>
        <v>100</v>
      </c>
      <c r="I54" s="13"/>
      <c r="J54" s="13"/>
      <c r="K54" s="13"/>
      <c r="L54"/>
    </row>
    <row r="55" spans="1:12" ht="60" x14ac:dyDescent="0.2">
      <c r="B55" s="165">
        <v>29</v>
      </c>
      <c r="C55" s="166" t="s">
        <v>249</v>
      </c>
      <c r="D55" s="167" t="s">
        <v>253</v>
      </c>
      <c r="E55" s="166" t="s">
        <v>285</v>
      </c>
      <c r="F55" s="168">
        <v>0.1</v>
      </c>
      <c r="G55" s="166">
        <v>3795</v>
      </c>
      <c r="H55" s="169">
        <f>$F$55*$G$55</f>
        <v>379.5</v>
      </c>
      <c r="I55" s="13"/>
      <c r="J55" s="13"/>
      <c r="K55" s="13"/>
      <c r="L55"/>
    </row>
    <row r="56" spans="1:12" ht="60" x14ac:dyDescent="0.2">
      <c r="B56" s="165">
        <v>30</v>
      </c>
      <c r="C56" s="166" t="s">
        <v>249</v>
      </c>
      <c r="D56" s="167" t="s">
        <v>254</v>
      </c>
      <c r="E56" s="166" t="s">
        <v>285</v>
      </c>
      <c r="F56" s="168">
        <v>0.5</v>
      </c>
      <c r="G56" s="166">
        <v>5560</v>
      </c>
      <c r="H56" s="169">
        <f>$F$56*$G$56</f>
        <v>2780</v>
      </c>
      <c r="I56" s="13"/>
      <c r="J56" s="13"/>
      <c r="K56" s="13"/>
      <c r="L56"/>
    </row>
    <row r="57" spans="1:12" x14ac:dyDescent="0.2">
      <c r="B57" s="165">
        <v>31</v>
      </c>
      <c r="C57" s="166" t="s">
        <v>249</v>
      </c>
      <c r="D57" s="167" t="s">
        <v>252</v>
      </c>
      <c r="E57" s="166" t="s">
        <v>285</v>
      </c>
      <c r="F57" s="168">
        <v>2</v>
      </c>
      <c r="G57" s="166">
        <v>235</v>
      </c>
      <c r="H57" s="169">
        <f>$F$57*$G$57</f>
        <v>470</v>
      </c>
      <c r="I57" s="13"/>
      <c r="J57" s="13"/>
      <c r="K57" s="13"/>
      <c r="L57"/>
    </row>
    <row r="58" spans="1:12" ht="15.75" x14ac:dyDescent="0.25">
      <c r="B58" s="5"/>
      <c r="C58" s="5"/>
      <c r="D58" s="5"/>
      <c r="E58" s="196" t="s">
        <v>129</v>
      </c>
      <c r="F58" s="196"/>
      <c r="G58" s="196"/>
      <c r="H58" s="118">
        <f>H26+H16</f>
        <v>26471.034461041665</v>
      </c>
      <c r="I58" s="13"/>
      <c r="J58" s="13"/>
      <c r="K58" s="13"/>
      <c r="L58"/>
    </row>
    <row r="59" spans="1:12" x14ac:dyDescent="0.2">
      <c r="A59" s="5"/>
      <c r="B59" s="5"/>
      <c r="C59" s="5"/>
      <c r="E59" s="35">
        <v>0.05</v>
      </c>
      <c r="F59" s="124" t="s">
        <v>136</v>
      </c>
      <c r="G59" s="5"/>
      <c r="H59" s="36">
        <f>E59*H58</f>
        <v>1323.5517230520834</v>
      </c>
      <c r="I59" s="13"/>
      <c r="J59" s="13"/>
      <c r="K59" s="13"/>
      <c r="L59"/>
    </row>
    <row r="60" spans="1:12" x14ac:dyDescent="0.2">
      <c r="A60" s="5"/>
      <c r="B60" s="5"/>
      <c r="C60" s="5"/>
      <c r="D60" s="5"/>
      <c r="E60" s="5"/>
      <c r="F60" s="5"/>
      <c r="G60" s="5"/>
      <c r="I60" s="13"/>
      <c r="J60" s="13"/>
      <c r="K60" s="13"/>
      <c r="L60"/>
    </row>
    <row r="61" spans="1:12" ht="26.25" customHeight="1" x14ac:dyDescent="0.2">
      <c r="A61" s="5"/>
      <c r="B61" s="185" t="s">
        <v>16</v>
      </c>
      <c r="C61" s="186"/>
      <c r="D61" s="186"/>
      <c r="E61" s="186"/>
      <c r="F61" s="186"/>
      <c r="G61" s="186"/>
      <c r="H61" s="186"/>
      <c r="I61" s="186"/>
      <c r="J61" s="186"/>
      <c r="K61" s="187"/>
      <c r="L61"/>
    </row>
    <row r="62" spans="1:12" x14ac:dyDescent="0.2">
      <c r="A62" s="5"/>
      <c r="B62" s="5"/>
      <c r="C62" s="5"/>
      <c r="D62" s="5"/>
      <c r="E62" s="5"/>
      <c r="F62" s="5"/>
      <c r="G62" s="5"/>
      <c r="I62" s="26"/>
      <c r="J62" s="26"/>
      <c r="K62" s="26"/>
    </row>
    <row r="63" spans="1:12" ht="61.5" customHeight="1" x14ac:dyDescent="0.2">
      <c r="A63" s="5"/>
      <c r="B63" s="3" t="s">
        <v>15</v>
      </c>
      <c r="C63" s="179" t="s">
        <v>11</v>
      </c>
      <c r="D63" s="180"/>
      <c r="E63" s="3" t="s">
        <v>4</v>
      </c>
      <c r="F63" s="3" t="s">
        <v>6</v>
      </c>
      <c r="G63" s="10" t="s">
        <v>19</v>
      </c>
      <c r="H63" s="150" t="s">
        <v>20</v>
      </c>
      <c r="I63" s="148"/>
      <c r="J63" s="26"/>
      <c r="K63" s="26"/>
    </row>
    <row r="64" spans="1:12" ht="15.75" x14ac:dyDescent="0.25">
      <c r="A64" s="5"/>
      <c r="B64" s="4">
        <v>1</v>
      </c>
      <c r="C64" s="146" t="s">
        <v>78</v>
      </c>
      <c r="D64" s="147"/>
      <c r="E64" s="181"/>
      <c r="F64" s="182"/>
      <c r="G64" s="183"/>
      <c r="H64" s="149">
        <f>'Оценка сетки'!J157</f>
        <v>0</v>
      </c>
      <c r="I64" s="148"/>
      <c r="J64" s="26"/>
      <c r="K64" s="26"/>
    </row>
    <row r="65" spans="1:15" ht="15.75" x14ac:dyDescent="0.25">
      <c r="A65" s="5"/>
      <c r="B65" s="4">
        <v>2</v>
      </c>
      <c r="C65" s="146" t="s">
        <v>109</v>
      </c>
      <c r="D65" s="147"/>
      <c r="E65" s="170">
        <v>20</v>
      </c>
      <c r="F65" s="171">
        <v>1.7000000000000001E-2</v>
      </c>
      <c r="G65" s="172">
        <v>600</v>
      </c>
      <c r="H65" s="149">
        <f>E65*F65*G65</f>
        <v>204.00000000000003</v>
      </c>
      <c r="I65" s="148"/>
      <c r="J65" s="26"/>
      <c r="K65" s="26"/>
    </row>
    <row r="66" spans="1:15" ht="48.75" customHeight="1" x14ac:dyDescent="0.25">
      <c r="A66" s="5"/>
      <c r="B66" s="4">
        <v>3</v>
      </c>
      <c r="C66" s="146" t="s">
        <v>190</v>
      </c>
      <c r="D66" s="147"/>
      <c r="E66" s="170">
        <v>46</v>
      </c>
      <c r="F66" s="171">
        <v>3.4000000000000002E-2</v>
      </c>
      <c r="G66" s="172">
        <f>IF($D$2&gt;40,600,IF(AND(8&lt;=$D$2,$D$2&lt;=40),600,750))</f>
        <v>600</v>
      </c>
      <c r="H66" s="149">
        <f>E66*F66*G66</f>
        <v>938.40000000000009</v>
      </c>
      <c r="I66" s="4"/>
      <c r="J66" s="26"/>
      <c r="K66" s="26"/>
    </row>
    <row r="67" spans="1:15" ht="34.5" customHeight="1" x14ac:dyDescent="0.25">
      <c r="A67" s="5"/>
      <c r="B67" s="4">
        <v>4</v>
      </c>
      <c r="C67" s="146" t="s">
        <v>26</v>
      </c>
      <c r="D67" s="147"/>
      <c r="E67" s="170">
        <v>8</v>
      </c>
      <c r="F67" s="170">
        <v>0.06</v>
      </c>
      <c r="G67" s="172">
        <f t="shared" ref="G67:G74" si="0">IF($D$2&gt;40,600,IF(AND(8&lt;=$D$2,$D$2&lt;=40),600,750))</f>
        <v>600</v>
      </c>
      <c r="H67" s="149">
        <f>E67*F67*G67</f>
        <v>288</v>
      </c>
      <c r="I67" s="4"/>
      <c r="J67" s="26"/>
      <c r="K67" s="26"/>
    </row>
    <row r="68" spans="1:15" ht="15.75" x14ac:dyDescent="0.25">
      <c r="A68" s="5"/>
      <c r="B68" s="4">
        <v>5</v>
      </c>
      <c r="C68" s="146" t="s">
        <v>117</v>
      </c>
      <c r="D68" s="147"/>
      <c r="E68" s="170">
        <v>43</v>
      </c>
      <c r="F68" s="170">
        <v>8.5000000000000006E-3</v>
      </c>
      <c r="G68" s="172">
        <f t="shared" si="0"/>
        <v>600</v>
      </c>
      <c r="H68" s="149">
        <f t="shared" ref="H68:H75" si="1">E68*F68*G68</f>
        <v>219.30000000000004</v>
      </c>
      <c r="I68" s="4"/>
      <c r="J68" s="26"/>
      <c r="K68" s="26"/>
    </row>
    <row r="69" spans="1:15" ht="15.75" x14ac:dyDescent="0.25">
      <c r="A69" s="5"/>
      <c r="B69" s="4">
        <v>6</v>
      </c>
      <c r="C69" s="146" t="s">
        <v>365</v>
      </c>
      <c r="D69" s="147"/>
      <c r="E69" s="170">
        <v>52</v>
      </c>
      <c r="F69" s="175">
        <f>0.017/3</f>
        <v>5.6666666666666671E-3</v>
      </c>
      <c r="G69" s="172">
        <f t="shared" si="0"/>
        <v>600</v>
      </c>
      <c r="H69" s="149">
        <f>IF(E69&gt;0,(E69*F69*G69+((60/D2)*0.017*G69)),0)</f>
        <v>185.66956521739132</v>
      </c>
      <c r="I69" s="4"/>
      <c r="J69" s="26"/>
      <c r="K69" s="26"/>
    </row>
    <row r="70" spans="1:15" ht="15.75" x14ac:dyDescent="0.25">
      <c r="A70" s="5"/>
      <c r="B70" s="4">
        <v>7</v>
      </c>
      <c r="C70" s="146" t="s">
        <v>363</v>
      </c>
      <c r="D70" s="147"/>
      <c r="E70" s="170">
        <v>20</v>
      </c>
      <c r="F70" s="170">
        <v>1.7000000000000001E-2</v>
      </c>
      <c r="G70" s="172">
        <f t="shared" si="0"/>
        <v>600</v>
      </c>
      <c r="H70" s="149">
        <f t="shared" ref="H70" si="2">E70*F70*G70</f>
        <v>204.00000000000003</v>
      </c>
      <c r="I70" s="4"/>
      <c r="J70" s="26"/>
      <c r="K70" s="26"/>
    </row>
    <row r="71" spans="1:15" ht="15.75" x14ac:dyDescent="0.25">
      <c r="A71" s="5"/>
      <c r="B71" s="4">
        <v>8</v>
      </c>
      <c r="C71" s="146" t="s">
        <v>364</v>
      </c>
      <c r="D71" s="147"/>
      <c r="E71" s="170">
        <v>10</v>
      </c>
      <c r="F71" s="170">
        <v>1.7000000000000001E-2</v>
      </c>
      <c r="G71" s="172">
        <f t="shared" si="0"/>
        <v>600</v>
      </c>
      <c r="H71" s="149">
        <f t="shared" si="1"/>
        <v>102.00000000000001</v>
      </c>
      <c r="I71" s="4"/>
      <c r="J71" s="26"/>
      <c r="K71" s="26"/>
    </row>
    <row r="72" spans="1:15" ht="15.75" x14ac:dyDescent="0.25">
      <c r="A72" s="5"/>
      <c r="B72" s="4">
        <v>9</v>
      </c>
      <c r="C72" s="146" t="s">
        <v>25</v>
      </c>
      <c r="D72" s="147"/>
      <c r="E72" s="170">
        <v>32</v>
      </c>
      <c r="F72" s="170">
        <v>1.7000000000000001E-2</v>
      </c>
      <c r="G72" s="172">
        <f t="shared" si="0"/>
        <v>600</v>
      </c>
      <c r="H72" s="149">
        <f t="shared" si="1"/>
        <v>326.40000000000003</v>
      </c>
      <c r="I72" s="4"/>
      <c r="J72" s="26"/>
      <c r="K72" s="26"/>
    </row>
    <row r="73" spans="1:15" ht="15.75" customHeight="1" x14ac:dyDescent="0.25">
      <c r="A73" s="5"/>
      <c r="B73" s="4">
        <v>10</v>
      </c>
      <c r="C73" s="146" t="s">
        <v>12</v>
      </c>
      <c r="D73" s="147"/>
      <c r="E73" s="170">
        <v>60</v>
      </c>
      <c r="F73" s="170">
        <v>1.7000000000000001E-2</v>
      </c>
      <c r="G73" s="172">
        <f t="shared" si="0"/>
        <v>600</v>
      </c>
      <c r="H73" s="149">
        <f t="shared" si="1"/>
        <v>612</v>
      </c>
      <c r="I73" s="4"/>
      <c r="J73" s="26"/>
      <c r="K73" s="26"/>
    </row>
    <row r="74" spans="1:15" ht="15.75" x14ac:dyDescent="0.25">
      <c r="A74" s="5"/>
      <c r="B74" s="4">
        <v>11</v>
      </c>
      <c r="C74" s="146" t="s">
        <v>13</v>
      </c>
      <c r="D74" s="147"/>
      <c r="E74" s="170">
        <v>0</v>
      </c>
      <c r="F74" s="170">
        <v>1.7000000000000001E-2</v>
      </c>
      <c r="G74" s="172">
        <f t="shared" si="0"/>
        <v>600</v>
      </c>
      <c r="H74" s="149">
        <f t="shared" si="1"/>
        <v>0</v>
      </c>
      <c r="I74" s="4"/>
      <c r="J74" s="26"/>
      <c r="K74" s="26"/>
    </row>
    <row r="75" spans="1:15" ht="15.75" x14ac:dyDescent="0.25">
      <c r="A75" s="5"/>
      <c r="B75" s="4">
        <v>12</v>
      </c>
      <c r="C75" s="146" t="s">
        <v>110</v>
      </c>
      <c r="D75" s="147"/>
      <c r="E75" s="170">
        <v>11.76</v>
      </c>
      <c r="F75" s="170">
        <v>0.8</v>
      </c>
      <c r="G75" s="171">
        <v>220</v>
      </c>
      <c r="H75" s="149">
        <f t="shared" si="1"/>
        <v>2069.7599999999998</v>
      </c>
      <c r="I75" s="4"/>
      <c r="J75" s="26"/>
      <c r="K75" s="26"/>
    </row>
    <row r="76" spans="1:15" ht="15.75" customHeight="1" x14ac:dyDescent="0.25">
      <c r="A76" s="5"/>
      <c r="B76" s="4">
        <v>13</v>
      </c>
      <c r="C76" s="146" t="s">
        <v>14</v>
      </c>
      <c r="D76" s="147"/>
      <c r="E76" s="4">
        <v>0</v>
      </c>
      <c r="F76" s="4"/>
      <c r="G76" s="7"/>
      <c r="H76" s="149">
        <f>SUM(J132:J426)</f>
        <v>10202.187945</v>
      </c>
      <c r="I76" s="4"/>
      <c r="J76" s="29"/>
      <c r="K76" s="29"/>
    </row>
    <row r="77" spans="1:15" ht="15.75" x14ac:dyDescent="0.25">
      <c r="A77" s="5"/>
      <c r="B77" s="5"/>
      <c r="C77" s="5"/>
      <c r="D77" s="5"/>
      <c r="E77" s="196" t="s">
        <v>131</v>
      </c>
      <c r="F77" s="196"/>
      <c r="G77" s="196"/>
      <c r="H77" s="118">
        <f>IF(($D$2&lt;=7),(SUM(H64:H76))*2,SUM(H64:H76))+L79</f>
        <v>15756.608814565217</v>
      </c>
      <c r="J77" s="197" t="s">
        <v>198</v>
      </c>
      <c r="K77" s="197"/>
      <c r="L77" s="197"/>
      <c r="O77" s="125"/>
    </row>
    <row r="78" spans="1:15" x14ac:dyDescent="0.2">
      <c r="A78" s="5"/>
      <c r="B78" s="5"/>
      <c r="C78" s="5"/>
      <c r="D78" s="5"/>
      <c r="E78" s="35">
        <v>0.3</v>
      </c>
      <c r="F78" s="5" t="s">
        <v>21</v>
      </c>
      <c r="G78" s="5"/>
      <c r="H78" s="36">
        <f>E78*H77</f>
        <v>4726.9826443695647</v>
      </c>
      <c r="J78" s="160" t="s">
        <v>199</v>
      </c>
      <c r="K78" s="160" t="s">
        <v>200</v>
      </c>
      <c r="L78" s="160" t="s">
        <v>201</v>
      </c>
    </row>
    <row r="79" spans="1:15" x14ac:dyDescent="0.2">
      <c r="A79" s="5"/>
      <c r="B79" s="5"/>
      <c r="C79" s="5"/>
      <c r="D79" s="5"/>
      <c r="E79" s="5"/>
      <c r="F79" s="5" t="s">
        <v>22</v>
      </c>
      <c r="G79" s="5"/>
      <c r="H79" s="36">
        <f>H78+H77+H59+H58</f>
        <v>48278.177643028524</v>
      </c>
      <c r="J79" s="161">
        <f>SUM(M132:M1078)/60</f>
        <v>0.67481884057971031</v>
      </c>
      <c r="K79" s="26">
        <v>600</v>
      </c>
      <c r="L79" s="26">
        <f>J79*K79</f>
        <v>404.89130434782618</v>
      </c>
    </row>
    <row r="80" spans="1:15" x14ac:dyDescent="0.2">
      <c r="A80" s="5"/>
      <c r="B80" s="5"/>
      <c r="C80" s="5"/>
      <c r="D80" s="5"/>
      <c r="E80" s="35">
        <v>0.2</v>
      </c>
      <c r="F80" s="5" t="s">
        <v>23</v>
      </c>
      <c r="G80" s="5"/>
      <c r="H80" s="36">
        <f>E80*H79</f>
        <v>9655.635528605706</v>
      </c>
    </row>
    <row r="81" spans="1:9" x14ac:dyDescent="0.2">
      <c r="A81" s="5"/>
      <c r="B81" s="5"/>
      <c r="C81" s="5"/>
      <c r="D81" s="5"/>
      <c r="E81" s="5"/>
      <c r="F81" s="5" t="s">
        <v>24</v>
      </c>
      <c r="G81" s="5"/>
      <c r="H81" s="36">
        <f>H79+H80+(H4*1000/$D$2)</f>
        <v>58368.595780329888</v>
      </c>
    </row>
    <row r="82" spans="1:9" x14ac:dyDescent="0.2">
      <c r="A82" s="5"/>
      <c r="B82" s="5"/>
      <c r="C82" s="5"/>
      <c r="D82" s="5"/>
      <c r="E82" s="5"/>
      <c r="F82" s="5" t="s">
        <v>186</v>
      </c>
      <c r="G82" s="5"/>
    </row>
    <row r="83" spans="1:9" ht="15.75" x14ac:dyDescent="0.25">
      <c r="A83" s="5"/>
      <c r="B83" s="5"/>
      <c r="C83" s="5"/>
      <c r="D83" s="5"/>
      <c r="E83" s="5"/>
      <c r="F83" s="5"/>
      <c r="G83" s="5"/>
      <c r="H83" s="123">
        <f>H81*1.2</f>
        <v>70042.314936395866</v>
      </c>
      <c r="I83" s="1" t="s">
        <v>128</v>
      </c>
    </row>
    <row r="84" spans="1:9" x14ac:dyDescent="0.2">
      <c r="A84" s="5"/>
      <c r="B84" s="5"/>
      <c r="C84" s="5"/>
      <c r="D84" s="5"/>
      <c r="E84" s="5"/>
      <c r="F84" s="5"/>
      <c r="G84" s="5"/>
    </row>
    <row r="85" spans="1:9" ht="15.75" hidden="1" outlineLevel="1" x14ac:dyDescent="0.25">
      <c r="A85" s="5"/>
      <c r="B85" s="119" t="s">
        <v>130</v>
      </c>
      <c r="D85" s="5"/>
      <c r="F85" s="5" t="s">
        <v>184</v>
      </c>
      <c r="G85" s="5" t="s">
        <v>185</v>
      </c>
    </row>
    <row r="86" spans="1:9" hidden="1" outlineLevel="1" x14ac:dyDescent="0.2">
      <c r="A86" s="5"/>
      <c r="B86" s="129" t="str">
        <f>B16</f>
        <v>Услуги</v>
      </c>
      <c r="C86" s="126"/>
      <c r="D86" s="127"/>
      <c r="E86" s="126"/>
      <c r="F86" s="136">
        <f>F87</f>
        <v>0.191</v>
      </c>
      <c r="G86" s="128">
        <f>IFERROR((H16/$H$81),0)</f>
        <v>0.13844525044690043</v>
      </c>
    </row>
    <row r="87" spans="1:9" hidden="1" outlineLevel="1" x14ac:dyDescent="0.2">
      <c r="A87" s="5"/>
      <c r="B87" s="121" t="s">
        <v>132</v>
      </c>
      <c r="C87" s="120" t="s">
        <v>133</v>
      </c>
      <c r="F87" s="137">
        <v>0.191</v>
      </c>
    </row>
    <row r="88" spans="1:9" ht="7.5" hidden="1" customHeight="1" outlineLevel="1" x14ac:dyDescent="0.2">
      <c r="A88" s="5"/>
      <c r="B88" s="121"/>
      <c r="C88" s="120"/>
      <c r="F88" s="122"/>
    </row>
    <row r="89" spans="1:9" hidden="1" outlineLevel="1" x14ac:dyDescent="0.2">
      <c r="A89" s="5"/>
      <c r="B89" s="126" t="str">
        <f>B26</f>
        <v>Материальная часть</v>
      </c>
      <c r="C89" s="126"/>
      <c r="D89" s="127"/>
      <c r="E89" s="127"/>
      <c r="F89" s="136">
        <f>F90</f>
        <v>0.30599999999999999</v>
      </c>
      <c r="G89" s="128">
        <f>IFERROR((H26/$H$81),0)</f>
        <v>0.31506976232923961</v>
      </c>
    </row>
    <row r="90" spans="1:9" hidden="1" outlineLevel="1" x14ac:dyDescent="0.2">
      <c r="A90" s="5"/>
      <c r="B90" s="121" t="s">
        <v>134</v>
      </c>
      <c r="C90" s="120" t="s">
        <v>135</v>
      </c>
      <c r="D90" s="5"/>
      <c r="E90" s="5"/>
      <c r="F90" s="138">
        <v>0.30599999999999999</v>
      </c>
    </row>
    <row r="91" spans="1:9" ht="7.5" hidden="1" customHeight="1" outlineLevel="1" x14ac:dyDescent="0.2">
      <c r="A91" s="5"/>
      <c r="B91" s="121"/>
      <c r="C91" s="120"/>
      <c r="D91" s="5"/>
      <c r="E91" s="5"/>
      <c r="F91" s="125"/>
    </row>
    <row r="92" spans="1:9" hidden="1" outlineLevel="1" x14ac:dyDescent="0.2">
      <c r="A92" s="5"/>
      <c r="B92" s="126" t="str">
        <f>E77</f>
        <v>Трудозатраты</v>
      </c>
      <c r="C92" s="126"/>
      <c r="D92" s="127"/>
      <c r="E92" s="127"/>
      <c r="F92" s="135">
        <f>SUM(F93:F96)</f>
        <v>0.11599999999999999</v>
      </c>
      <c r="G92" s="128">
        <f>IFERROR((H77/$H$81),0)</f>
        <v>0.26995010936814701</v>
      </c>
    </row>
    <row r="93" spans="1:9" s="131" customFormat="1" hidden="1" outlineLevel="1" x14ac:dyDescent="0.2">
      <c r="A93" s="130"/>
      <c r="B93" s="133" t="s">
        <v>148</v>
      </c>
      <c r="C93" s="132" t="s">
        <v>144</v>
      </c>
      <c r="D93" s="130"/>
      <c r="E93" s="130"/>
      <c r="F93" s="139">
        <v>1.2999999999999999E-2</v>
      </c>
      <c r="G93" s="130"/>
    </row>
    <row r="94" spans="1:9" s="131" customFormat="1" hidden="1" outlineLevel="1" x14ac:dyDescent="0.2">
      <c r="A94" s="130"/>
      <c r="B94" s="133" t="s">
        <v>149</v>
      </c>
      <c r="C94" s="132" t="s">
        <v>145</v>
      </c>
      <c r="D94" s="130"/>
      <c r="E94" s="130"/>
      <c r="F94" s="139">
        <v>8.5999999999999993E-2</v>
      </c>
      <c r="G94" s="130"/>
    </row>
    <row r="95" spans="1:9" hidden="1" outlineLevel="1" x14ac:dyDescent="0.2">
      <c r="A95" s="5"/>
      <c r="B95" s="133" t="s">
        <v>172</v>
      </c>
      <c r="C95" s="132" t="s">
        <v>173</v>
      </c>
      <c r="D95" s="130"/>
      <c r="E95" s="130"/>
      <c r="F95" s="139">
        <v>6.0000000000000001E-3</v>
      </c>
      <c r="G95" s="130"/>
    </row>
    <row r="96" spans="1:9" hidden="1" outlineLevel="1" x14ac:dyDescent="0.2">
      <c r="A96" s="5"/>
      <c r="B96" s="121" t="s">
        <v>152</v>
      </c>
      <c r="C96" s="132" t="s">
        <v>153</v>
      </c>
      <c r="F96" s="138">
        <v>1.0999999999999999E-2</v>
      </c>
      <c r="G96" s="5"/>
    </row>
    <row r="97" spans="1:7" ht="7.5" hidden="1" customHeight="1" outlineLevel="1" x14ac:dyDescent="0.2">
      <c r="A97" s="5"/>
      <c r="B97" s="121"/>
      <c r="C97" s="132"/>
      <c r="F97" s="125"/>
      <c r="G97" s="5"/>
    </row>
    <row r="98" spans="1:7" hidden="1" outlineLevel="1" x14ac:dyDescent="0.2">
      <c r="A98" s="5"/>
      <c r="B98" s="126" t="str">
        <f>F59</f>
        <v>Расходы на снабжение</v>
      </c>
      <c r="C98" s="126"/>
      <c r="D98" s="127"/>
      <c r="E98" s="127"/>
      <c r="F98" s="135">
        <f>SUM(F99:F104)</f>
        <v>4.3999999999999997E-2</v>
      </c>
      <c r="G98" s="128">
        <f>IFERROR((H59/$H$81),0)</f>
        <v>2.2675750638807005E-2</v>
      </c>
    </row>
    <row r="99" spans="1:7" hidden="1" outlineLevel="1" x14ac:dyDescent="0.2">
      <c r="A99" s="5"/>
      <c r="B99" s="121" t="s">
        <v>141</v>
      </c>
      <c r="C99" s="120" t="s">
        <v>142</v>
      </c>
      <c r="D99" s="5"/>
      <c r="E99" s="5"/>
      <c r="F99" s="137">
        <v>4.0000000000000001E-3</v>
      </c>
      <c r="G99" s="5"/>
    </row>
    <row r="100" spans="1:7" hidden="1" outlineLevel="1" x14ac:dyDescent="0.2">
      <c r="A100" s="5"/>
      <c r="B100" s="121" t="s">
        <v>150</v>
      </c>
      <c r="C100" s="132" t="s">
        <v>151</v>
      </c>
      <c r="F100" s="138">
        <v>7.0000000000000001E-3</v>
      </c>
      <c r="G100" s="5"/>
    </row>
    <row r="101" spans="1:7" hidden="1" outlineLevel="1" x14ac:dyDescent="0.2">
      <c r="A101" s="5"/>
      <c r="B101" s="121" t="s">
        <v>154</v>
      </c>
      <c r="C101" s="132" t="s">
        <v>155</v>
      </c>
      <c r="F101" s="138">
        <v>2E-3</v>
      </c>
      <c r="G101" s="5"/>
    </row>
    <row r="102" spans="1:7" hidden="1" outlineLevel="1" x14ac:dyDescent="0.2">
      <c r="A102" s="5"/>
      <c r="B102" s="121" t="s">
        <v>160</v>
      </c>
      <c r="C102" s="120" t="s">
        <v>161</v>
      </c>
      <c r="F102" s="138">
        <v>3.0000000000000001E-3</v>
      </c>
      <c r="G102" s="5"/>
    </row>
    <row r="103" spans="1:7" hidden="1" outlineLevel="1" x14ac:dyDescent="0.2">
      <c r="A103" s="5"/>
      <c r="B103" s="121" t="s">
        <v>137</v>
      </c>
      <c r="C103" s="120" t="s">
        <v>140</v>
      </c>
      <c r="D103" s="5"/>
      <c r="E103" s="5"/>
      <c r="F103" s="137">
        <v>2.5999999999999999E-2</v>
      </c>
      <c r="G103" s="5"/>
    </row>
    <row r="104" spans="1:7" hidden="1" outlineLevel="1" x14ac:dyDescent="0.2">
      <c r="A104" s="5"/>
      <c r="B104" s="121" t="s">
        <v>138</v>
      </c>
      <c r="C104" s="120" t="s">
        <v>139</v>
      </c>
      <c r="D104" s="5"/>
      <c r="E104" s="5"/>
      <c r="F104" s="137">
        <v>2E-3</v>
      </c>
      <c r="G104" s="5"/>
    </row>
    <row r="105" spans="1:7" ht="7.5" hidden="1" customHeight="1" outlineLevel="1" x14ac:dyDescent="0.2">
      <c r="A105" s="5"/>
      <c r="B105" s="121"/>
      <c r="C105" s="132"/>
      <c r="F105" s="125"/>
      <c r="G105" s="5"/>
    </row>
    <row r="106" spans="1:7" hidden="1" outlineLevel="1" x14ac:dyDescent="0.2">
      <c r="A106" s="5"/>
      <c r="B106" s="126" t="str">
        <f>F78</f>
        <v>Маржа на работу</v>
      </c>
      <c r="C106" s="126"/>
      <c r="D106" s="127"/>
      <c r="E106" s="127"/>
      <c r="F106" s="135">
        <f>SUM(F107:F109)</f>
        <v>4.9999999999999996E-2</v>
      </c>
      <c r="G106" s="128">
        <f>IFERROR((H78/$H$81),0)</f>
        <v>8.0985032810444099E-2</v>
      </c>
    </row>
    <row r="107" spans="1:7" hidden="1" outlineLevel="1" x14ac:dyDescent="0.2">
      <c r="A107" s="5"/>
      <c r="B107" s="121" t="s">
        <v>146</v>
      </c>
      <c r="C107" s="132" t="s">
        <v>174</v>
      </c>
      <c r="F107" s="138">
        <v>0.02</v>
      </c>
      <c r="G107" s="5"/>
    </row>
    <row r="108" spans="1:7" s="131" customFormat="1" hidden="1" outlineLevel="1" x14ac:dyDescent="0.2">
      <c r="A108" s="130"/>
      <c r="B108" s="133" t="s">
        <v>147</v>
      </c>
      <c r="C108" s="132" t="s">
        <v>143</v>
      </c>
      <c r="D108" s="130"/>
      <c r="E108" s="130"/>
      <c r="F108" s="139">
        <v>2.5000000000000001E-2</v>
      </c>
      <c r="G108" s="130"/>
    </row>
    <row r="109" spans="1:7" hidden="1" outlineLevel="1" x14ac:dyDescent="0.2">
      <c r="A109" s="5"/>
      <c r="B109" s="133" t="s">
        <v>158</v>
      </c>
      <c r="C109" s="132" t="s">
        <v>156</v>
      </c>
      <c r="D109" s="130"/>
      <c r="E109" s="130"/>
      <c r="F109" s="139">
        <v>5.0000000000000001E-3</v>
      </c>
      <c r="G109" s="130"/>
    </row>
    <row r="110" spans="1:7" ht="7.5" hidden="1" customHeight="1" outlineLevel="1" x14ac:dyDescent="0.2">
      <c r="A110" s="5"/>
      <c r="B110" s="133"/>
      <c r="C110" s="132"/>
      <c r="D110" s="130"/>
      <c r="E110" s="130"/>
      <c r="F110" s="134"/>
      <c r="G110" s="130"/>
    </row>
    <row r="111" spans="1:7" hidden="1" outlineLevel="1" x14ac:dyDescent="0.2">
      <c r="A111" s="5"/>
      <c r="B111" s="126" t="str">
        <f>F80</f>
        <v>Наценка торговая</v>
      </c>
      <c r="C111" s="126"/>
      <c r="D111" s="127"/>
      <c r="E111" s="127"/>
      <c r="F111" s="135">
        <f>SUM(F112:F122)</f>
        <v>0.29300000000000004</v>
      </c>
      <c r="G111" s="128">
        <f>IFERROR((H80/$H$81),0)</f>
        <v>0.16542518111870763</v>
      </c>
    </row>
    <row r="112" spans="1:7" hidden="1" outlineLevel="1" x14ac:dyDescent="0.2">
      <c r="A112" s="5"/>
      <c r="B112" s="133" t="s">
        <v>171</v>
      </c>
      <c r="C112" s="132" t="s">
        <v>170</v>
      </c>
      <c r="D112" s="130"/>
      <c r="E112" s="130"/>
      <c r="F112" s="139">
        <v>3.1E-2</v>
      </c>
      <c r="G112" s="130"/>
    </row>
    <row r="113" spans="1:12" hidden="1" outlineLevel="1" x14ac:dyDescent="0.2">
      <c r="A113" s="5"/>
      <c r="B113" s="121" t="s">
        <v>163</v>
      </c>
      <c r="C113" s="120" t="s">
        <v>162</v>
      </c>
      <c r="F113" s="138">
        <v>5.0000000000000001E-3</v>
      </c>
      <c r="G113" s="5"/>
    </row>
    <row r="114" spans="1:12" hidden="1" outlineLevel="1" x14ac:dyDescent="0.2">
      <c r="A114" s="5"/>
      <c r="B114" s="121" t="s">
        <v>165</v>
      </c>
      <c r="C114" s="120" t="s">
        <v>164</v>
      </c>
      <c r="F114" s="138">
        <v>7.0000000000000001E-3</v>
      </c>
      <c r="G114" s="5"/>
    </row>
    <row r="115" spans="1:12" hidden="1" outlineLevel="1" x14ac:dyDescent="0.2">
      <c r="A115" s="5"/>
      <c r="B115" s="133" t="s">
        <v>177</v>
      </c>
      <c r="C115" s="132" t="s">
        <v>178</v>
      </c>
      <c r="D115" s="130"/>
      <c r="E115" s="130"/>
      <c r="F115" s="139">
        <v>6.0000000000000001E-3</v>
      </c>
      <c r="G115" s="130"/>
    </row>
    <row r="116" spans="1:12" hidden="1" outlineLevel="1" x14ac:dyDescent="0.2">
      <c r="A116" s="5"/>
      <c r="B116" s="133" t="s">
        <v>175</v>
      </c>
      <c r="C116" s="132" t="s">
        <v>176</v>
      </c>
      <c r="D116" s="130"/>
      <c r="E116" s="130"/>
      <c r="F116" s="139">
        <v>5.0000000000000001E-3</v>
      </c>
      <c r="G116" s="130"/>
    </row>
    <row r="117" spans="1:12" hidden="1" outlineLevel="1" x14ac:dyDescent="0.2">
      <c r="A117" s="5"/>
      <c r="B117" s="121" t="s">
        <v>168</v>
      </c>
      <c r="C117" s="120" t="s">
        <v>169</v>
      </c>
      <c r="F117" s="138">
        <v>0.12</v>
      </c>
      <c r="G117" s="5"/>
    </row>
    <row r="118" spans="1:12" hidden="1" outlineLevel="1" x14ac:dyDescent="0.2">
      <c r="A118" s="5"/>
      <c r="B118" s="121" t="s">
        <v>166</v>
      </c>
      <c r="C118" s="132" t="s">
        <v>167</v>
      </c>
      <c r="F118" s="138">
        <v>1.6E-2</v>
      </c>
      <c r="G118" s="5"/>
    </row>
    <row r="119" spans="1:12" hidden="1" outlineLevel="1" x14ac:dyDescent="0.2">
      <c r="A119" s="5"/>
      <c r="B119" s="133" t="s">
        <v>179</v>
      </c>
      <c r="C119" s="132" t="s">
        <v>180</v>
      </c>
      <c r="D119" s="130"/>
      <c r="E119" s="130"/>
      <c r="F119" s="139">
        <v>4.0000000000000001E-3</v>
      </c>
      <c r="G119" s="130"/>
    </row>
    <row r="120" spans="1:12" hidden="1" outlineLevel="1" x14ac:dyDescent="0.2">
      <c r="A120" s="5"/>
      <c r="B120" s="133"/>
      <c r="C120" s="140" t="s">
        <v>182</v>
      </c>
      <c r="D120" s="130"/>
      <c r="E120" s="130"/>
      <c r="F120" s="139">
        <v>0.03</v>
      </c>
      <c r="G120" s="130"/>
    </row>
    <row r="121" spans="1:12" hidden="1" outlineLevel="1" x14ac:dyDescent="0.2">
      <c r="A121" s="5"/>
      <c r="B121" s="133"/>
      <c r="C121" s="140" t="s">
        <v>183</v>
      </c>
      <c r="D121" s="130"/>
      <c r="E121" s="130"/>
      <c r="F121" s="139">
        <v>0.05</v>
      </c>
      <c r="G121" s="130"/>
    </row>
    <row r="122" spans="1:12" hidden="1" outlineLevel="1" x14ac:dyDescent="0.2">
      <c r="A122" s="5"/>
      <c r="B122" s="121"/>
      <c r="C122" s="140" t="s">
        <v>181</v>
      </c>
      <c r="F122" s="138">
        <v>1.9E-2</v>
      </c>
      <c r="G122" s="5"/>
    </row>
    <row r="123" spans="1:12" ht="7.5" hidden="1" customHeight="1" outlineLevel="1" x14ac:dyDescent="0.2">
      <c r="A123" s="5"/>
      <c r="B123" s="133"/>
      <c r="C123" s="132"/>
      <c r="D123" s="130"/>
      <c r="E123" s="130"/>
      <c r="F123" s="134"/>
      <c r="G123" s="130"/>
    </row>
    <row r="124" spans="1:12" hidden="1" outlineLevel="1" x14ac:dyDescent="0.2">
      <c r="A124" s="5"/>
      <c r="B124" s="126" t="str">
        <f>F82</f>
        <v>Доставка</v>
      </c>
      <c r="C124" s="126"/>
      <c r="D124" s="127"/>
      <c r="E124" s="127"/>
      <c r="F124" s="135">
        <f>F125</f>
        <v>5.2999999999999999E-2</v>
      </c>
      <c r="G124" s="128">
        <f>IFERROR((#REF!/H118),0)</f>
        <v>0</v>
      </c>
    </row>
    <row r="125" spans="1:12" hidden="1" outlineLevel="1" x14ac:dyDescent="0.2">
      <c r="A125" s="5"/>
      <c r="B125" s="121" t="s">
        <v>159</v>
      </c>
      <c r="C125" s="120" t="s">
        <v>157</v>
      </c>
      <c r="F125" s="138">
        <v>5.2999999999999999E-2</v>
      </c>
      <c r="G125" s="5"/>
    </row>
    <row r="126" spans="1:12" collapsed="1" x14ac:dyDescent="0.2">
      <c r="A126" s="5"/>
      <c r="G126" s="5"/>
    </row>
    <row r="128" spans="1:12" ht="25.5" customHeight="1" x14ac:dyDescent="0.2">
      <c r="B128" s="178" t="s">
        <v>17</v>
      </c>
      <c r="C128" s="178"/>
      <c r="D128" s="178"/>
      <c r="E128" s="178"/>
      <c r="F128" s="178"/>
      <c r="G128" s="178"/>
      <c r="H128" s="178"/>
      <c r="I128" s="178"/>
      <c r="J128" s="178"/>
      <c r="K128" s="178"/>
      <c r="L128" s="178"/>
    </row>
    <row r="130" spans="2:13" ht="15.75" thickBot="1" x14ac:dyDescent="0.25">
      <c r="B130" s="1" t="s">
        <v>0</v>
      </c>
      <c r="C130" s="2" t="s">
        <v>10</v>
      </c>
    </row>
    <row r="131" spans="2:13" ht="63.75" x14ac:dyDescent="0.2">
      <c r="B131" s="188">
        <v>1</v>
      </c>
      <c r="C131" s="191"/>
      <c r="D131" s="11" t="s">
        <v>9</v>
      </c>
      <c r="E131" s="12" t="s">
        <v>5</v>
      </c>
      <c r="F131" s="11" t="s">
        <v>6</v>
      </c>
      <c r="G131" s="11" t="s">
        <v>7</v>
      </c>
      <c r="H131" s="11" t="s">
        <v>8</v>
      </c>
      <c r="I131" s="12" t="s">
        <v>19</v>
      </c>
      <c r="J131" s="21" t="s">
        <v>20</v>
      </c>
      <c r="K131" s="32" t="s">
        <v>124</v>
      </c>
      <c r="L131" s="33" t="s">
        <v>125</v>
      </c>
      <c r="M131" s="33" t="s">
        <v>202</v>
      </c>
    </row>
    <row r="132" spans="2:13" ht="15.75" x14ac:dyDescent="0.2">
      <c r="B132" s="189"/>
      <c r="C132" s="192"/>
      <c r="D132" s="111">
        <v>1</v>
      </c>
      <c r="E132" s="14">
        <v>7.1779099999999998</v>
      </c>
      <c r="F132" s="173">
        <f>IF($D$2*D132&lt;=200,0.33,0.25)*1.2</f>
        <v>0.39600000000000002</v>
      </c>
      <c r="G132" s="14">
        <f>E132*F132</f>
        <v>2.8424523600000002</v>
      </c>
      <c r="H132" s="15">
        <f>IF(($D$2*D132)&gt;40,750,IF(AND(8&lt;=($D$2*D132),($D$2*D132)&lt;=40),850,1000))</f>
        <v>750</v>
      </c>
      <c r="I132" s="15">
        <f>(E132*F132*H132)</f>
        <v>2131.8392700000004</v>
      </c>
      <c r="J132" s="22">
        <f>D132*I132</f>
        <v>2131.8392700000004</v>
      </c>
      <c r="K132" s="113"/>
      <c r="L132" s="155"/>
      <c r="M132" s="176">
        <f>IFERROR((180/($D$2*D132)),0)</f>
        <v>2.6086956521739131</v>
      </c>
    </row>
    <row r="133" spans="2:13" ht="15.75" customHeight="1" thickBot="1" x14ac:dyDescent="0.25">
      <c r="B133" s="190"/>
      <c r="C133" s="16"/>
      <c r="D133" s="114">
        <v>1</v>
      </c>
      <c r="E133" s="17">
        <v>15</v>
      </c>
      <c r="F133" s="174">
        <f>IF($D$2*D132&lt;=200,0.017,0.0085)*1.2</f>
        <v>2.0400000000000001E-2</v>
      </c>
      <c r="G133" s="18">
        <f>E133*F133</f>
        <v>0.30600000000000005</v>
      </c>
      <c r="H133" s="115">
        <f>IF(($D$2*D133)&gt;40,750,IF(AND(8&lt;=($D$2*D133),($D$2*D133)&lt;=40),850,1000))</f>
        <v>750</v>
      </c>
      <c r="I133" s="115">
        <f>(E133*F133*H133)</f>
        <v>229.50000000000003</v>
      </c>
      <c r="J133" s="23">
        <f>D133*I133</f>
        <v>229.50000000000003</v>
      </c>
      <c r="K133" s="116">
        <f>G132*D132+G133*D133</f>
        <v>3.1484523600000003</v>
      </c>
      <c r="L133" s="156">
        <f>J132+J133</f>
        <v>2361.3392700000004</v>
      </c>
      <c r="M133" s="177"/>
    </row>
    <row r="134" spans="2:13" hidden="1" outlineLevel="1" x14ac:dyDescent="0.2">
      <c r="B134" s="20"/>
      <c r="C134" s="20" t="s">
        <v>286</v>
      </c>
      <c r="D134" s="112">
        <v>4</v>
      </c>
      <c r="E134" s="20"/>
      <c r="F134" s="20"/>
      <c r="G134" s="20"/>
      <c r="H134" s="20"/>
      <c r="I134" s="20"/>
      <c r="J134" s="24"/>
      <c r="K134" s="30"/>
      <c r="L134" s="157"/>
      <c r="M134" s="26"/>
    </row>
    <row r="135" spans="2:13" outlineLevel="1" x14ac:dyDescent="0.2">
      <c r="B135" s="20"/>
      <c r="C135" s="20" t="s">
        <v>287</v>
      </c>
      <c r="D135" s="112">
        <v>1</v>
      </c>
      <c r="E135" s="20"/>
      <c r="F135" s="20"/>
      <c r="G135" s="20"/>
      <c r="H135" s="20"/>
      <c r="I135" s="20"/>
      <c r="J135" s="24"/>
      <c r="K135" s="30"/>
      <c r="L135" s="157"/>
      <c r="M135" s="26"/>
    </row>
    <row r="136" spans="2:13" outlineLevel="1" x14ac:dyDescent="0.2">
      <c r="B136" s="20"/>
      <c r="C136" s="20" t="s">
        <v>288</v>
      </c>
      <c r="D136" s="112">
        <v>1</v>
      </c>
      <c r="E136" s="20"/>
      <c r="F136" s="20"/>
      <c r="G136" s="20"/>
      <c r="H136" s="20"/>
      <c r="I136" s="20"/>
      <c r="J136" s="24"/>
      <c r="K136" s="30"/>
      <c r="L136" s="157"/>
      <c r="M136" s="26"/>
    </row>
    <row r="137" spans="2:13" ht="15.75" outlineLevel="1" thickBot="1" x14ac:dyDescent="0.25">
      <c r="B137" s="20"/>
      <c r="C137" s="20" t="s">
        <v>289</v>
      </c>
      <c r="D137" s="112">
        <v>2</v>
      </c>
      <c r="E137" s="20"/>
      <c r="F137" s="20"/>
      <c r="G137" s="20"/>
      <c r="H137" s="20"/>
      <c r="I137" s="20"/>
      <c r="J137" s="24"/>
      <c r="K137" s="30"/>
      <c r="L137" s="157"/>
      <c r="M137" s="26"/>
    </row>
    <row r="138" spans="2:13" hidden="1" outlineLevel="1" x14ac:dyDescent="0.2">
      <c r="B138" s="19"/>
      <c r="C138" s="20" t="s">
        <v>290</v>
      </c>
      <c r="D138" s="112">
        <v>1</v>
      </c>
      <c r="E138" s="19"/>
      <c r="F138" s="19"/>
      <c r="G138" s="19"/>
      <c r="H138" s="19"/>
      <c r="I138" s="19"/>
      <c r="J138" s="25"/>
      <c r="K138" s="26"/>
      <c r="L138" s="103"/>
      <c r="M138" s="26"/>
    </row>
    <row r="139" spans="2:13" hidden="1" outlineLevel="1" x14ac:dyDescent="0.2">
      <c r="B139" s="19"/>
      <c r="C139" s="20" t="s">
        <v>291</v>
      </c>
      <c r="D139" s="112">
        <v>1</v>
      </c>
      <c r="E139" s="19"/>
      <c r="F139" s="19"/>
      <c r="G139" s="19"/>
      <c r="H139" s="19"/>
      <c r="I139" s="19"/>
      <c r="J139" s="25"/>
      <c r="K139" s="26"/>
      <c r="L139" s="103"/>
      <c r="M139" s="26"/>
    </row>
    <row r="140" spans="2:13" hidden="1" outlineLevel="1" x14ac:dyDescent="0.2">
      <c r="B140" s="19"/>
      <c r="C140" s="20" t="s">
        <v>292</v>
      </c>
      <c r="D140" s="112">
        <v>1</v>
      </c>
      <c r="E140" s="19"/>
      <c r="F140" s="19"/>
      <c r="G140" s="19"/>
      <c r="H140" s="19"/>
      <c r="I140" s="19"/>
      <c r="J140" s="25"/>
      <c r="K140" s="26"/>
      <c r="L140" s="103"/>
      <c r="M140" s="26"/>
    </row>
    <row r="141" spans="2:13" hidden="1" outlineLevel="1" x14ac:dyDescent="0.2">
      <c r="B141" s="19"/>
      <c r="C141" s="20" t="s">
        <v>293</v>
      </c>
      <c r="D141" s="112">
        <v>2</v>
      </c>
      <c r="E141" s="19"/>
      <c r="F141" s="19"/>
      <c r="G141" s="19"/>
      <c r="H141" s="19"/>
      <c r="I141" s="19"/>
      <c r="J141" s="25"/>
      <c r="K141" s="26"/>
      <c r="L141" s="103"/>
      <c r="M141" s="26"/>
    </row>
    <row r="142" spans="2:13" ht="15.75" hidden="1" outlineLevel="1" thickBot="1" x14ac:dyDescent="0.25">
      <c r="B142" s="27"/>
      <c r="C142" s="20" t="s">
        <v>294</v>
      </c>
      <c r="D142" s="112">
        <v>2</v>
      </c>
      <c r="E142" s="27"/>
      <c r="F142" s="27"/>
      <c r="G142" s="27"/>
      <c r="H142" s="27"/>
      <c r="I142" s="27"/>
      <c r="J142" s="28"/>
      <c r="K142" s="29"/>
      <c r="L142" s="158"/>
      <c r="M142" s="26"/>
    </row>
    <row r="143" spans="2:13" customFormat="1" ht="69.75" customHeight="1" x14ac:dyDescent="0.2">
      <c r="B143" s="188">
        <v>2</v>
      </c>
      <c r="C143" s="191"/>
      <c r="D143" s="11" t="s">
        <v>9</v>
      </c>
      <c r="E143" s="12" t="s">
        <v>5</v>
      </c>
      <c r="F143" s="11" t="s">
        <v>6</v>
      </c>
      <c r="G143" s="11" t="s">
        <v>7</v>
      </c>
      <c r="H143" s="11" t="s">
        <v>8</v>
      </c>
      <c r="I143" s="12" t="s">
        <v>19</v>
      </c>
      <c r="J143" s="21" t="s">
        <v>20</v>
      </c>
      <c r="K143" s="32" t="s">
        <v>124</v>
      </c>
      <c r="L143" s="159" t="s">
        <v>125</v>
      </c>
      <c r="M143" s="33" t="s">
        <v>202</v>
      </c>
    </row>
    <row r="144" spans="2:13" customFormat="1" ht="15.75" x14ac:dyDescent="0.2">
      <c r="B144" s="189"/>
      <c r="C144" s="192"/>
      <c r="D144" s="111">
        <v>1</v>
      </c>
      <c r="E144" s="14">
        <v>5.969E-2</v>
      </c>
      <c r="F144" s="14">
        <f t="shared" ref="F144" si="3">IF($D$2*D144&lt;=200,0.33,0.25)</f>
        <v>0.33</v>
      </c>
      <c r="G144" s="14">
        <f t="shared" ref="G144:G145" si="4">E144*F144</f>
        <v>1.9697700000000002E-2</v>
      </c>
      <c r="H144" s="15">
        <f t="shared" ref="H144:H145" si="5">IF(($D$2*D144)&gt;40,750,IF(AND(8&lt;=($D$2*D144),($D$2*D144)&lt;=40),850,1000))</f>
        <v>750</v>
      </c>
      <c r="I144" s="15">
        <f t="shared" ref="I144:I145" si="6">(E144*F144*H144)</f>
        <v>14.773275000000002</v>
      </c>
      <c r="J144" s="22">
        <f>D144*I144</f>
        <v>14.773275000000002</v>
      </c>
      <c r="K144" s="113"/>
      <c r="L144" s="155"/>
      <c r="M144" s="176">
        <f>IFERROR((180/($D$2*D144)),0)</f>
        <v>2.6086956521739131</v>
      </c>
    </row>
    <row r="145" spans="2:13" customFormat="1" ht="13.5" customHeight="1" thickBot="1" x14ac:dyDescent="0.25">
      <c r="B145" s="190"/>
      <c r="C145" s="16"/>
      <c r="D145" s="114">
        <v>1</v>
      </c>
      <c r="E145" s="17">
        <v>4</v>
      </c>
      <c r="F145" s="152">
        <f t="shared" ref="F145" si="7">IF($D$2*D144&lt;=200,0.017,0.0085)</f>
        <v>1.7000000000000001E-2</v>
      </c>
      <c r="G145" s="18">
        <f t="shared" si="4"/>
        <v>6.8000000000000005E-2</v>
      </c>
      <c r="H145" s="115">
        <f t="shared" si="5"/>
        <v>750</v>
      </c>
      <c r="I145" s="115">
        <f t="shared" si="6"/>
        <v>51.000000000000007</v>
      </c>
      <c r="J145" s="23">
        <f>D145*I145</f>
        <v>51.000000000000007</v>
      </c>
      <c r="K145" s="116">
        <f t="shared" ref="K145" si="8">G144*D144+G145*D145</f>
        <v>8.7697700000000003E-2</v>
      </c>
      <c r="L145" s="156">
        <f t="shared" ref="L145" si="9">J144+J145</f>
        <v>65.773275000000012</v>
      </c>
      <c r="M145" s="177"/>
    </row>
    <row r="146" spans="2:13" customFormat="1" hidden="1" outlineLevel="1" x14ac:dyDescent="0.2">
      <c r="B146" s="20"/>
      <c r="C146" s="20" t="s">
        <v>295</v>
      </c>
      <c r="D146" s="112">
        <v>1</v>
      </c>
      <c r="E146" s="20"/>
      <c r="F146" s="20"/>
      <c r="G146" s="20"/>
      <c r="H146" s="20"/>
      <c r="I146" s="20"/>
      <c r="J146" s="24"/>
      <c r="K146" s="30"/>
      <c r="L146" s="157"/>
      <c r="M146" s="13"/>
    </row>
    <row r="147" spans="2:13" customFormat="1" hidden="1" outlineLevel="1" x14ac:dyDescent="0.2">
      <c r="B147" s="19"/>
      <c r="C147" s="20" t="s">
        <v>296</v>
      </c>
      <c r="D147" s="112">
        <v>2</v>
      </c>
      <c r="E147" s="19"/>
      <c r="F147" s="19"/>
      <c r="G147" s="19"/>
      <c r="H147" s="19"/>
      <c r="I147" s="19"/>
      <c r="J147" s="25"/>
      <c r="K147" s="26"/>
      <c r="L147" s="103"/>
      <c r="M147" s="13"/>
    </row>
    <row r="148" spans="2:13" customFormat="1" hidden="1" outlineLevel="1" x14ac:dyDescent="0.2">
      <c r="B148" s="19"/>
      <c r="C148" s="20" t="s">
        <v>297</v>
      </c>
      <c r="D148" s="112">
        <v>1</v>
      </c>
      <c r="E148" s="19"/>
      <c r="F148" s="19"/>
      <c r="G148" s="19"/>
      <c r="H148" s="19"/>
      <c r="I148" s="19"/>
      <c r="J148" s="25"/>
      <c r="K148" s="26"/>
      <c r="L148" s="103"/>
      <c r="M148" s="13"/>
    </row>
    <row r="149" spans="2:13" customFormat="1" ht="15" hidden="1" customHeight="1" outlineLevel="1" x14ac:dyDescent="0.2">
      <c r="B149" s="19"/>
      <c r="C149" s="20"/>
      <c r="D149" s="112"/>
      <c r="E149" s="19"/>
      <c r="F149" s="19"/>
      <c r="G149" s="19"/>
      <c r="H149" s="19"/>
      <c r="I149" s="19"/>
      <c r="J149" s="25"/>
      <c r="K149" s="26"/>
      <c r="L149" s="103"/>
      <c r="M149" s="13"/>
    </row>
    <row r="150" spans="2:13" customFormat="1" hidden="1" outlineLevel="1" x14ac:dyDescent="0.2">
      <c r="B150" s="19"/>
      <c r="C150" s="20"/>
      <c r="D150" s="112"/>
      <c r="E150" s="19"/>
      <c r="F150" s="19"/>
      <c r="G150" s="19"/>
      <c r="H150" s="19"/>
      <c r="I150" s="19"/>
      <c r="J150" s="25"/>
      <c r="K150" s="26"/>
      <c r="L150" s="103"/>
      <c r="M150" s="13"/>
    </row>
    <row r="151" spans="2:13" customFormat="1" ht="15.75" hidden="1" outlineLevel="1" thickBot="1" x14ac:dyDescent="0.25">
      <c r="B151" s="27"/>
      <c r="C151" s="20"/>
      <c r="D151" s="112"/>
      <c r="E151" s="27"/>
      <c r="F151" s="27"/>
      <c r="G151" s="27"/>
      <c r="H151" s="27"/>
      <c r="I151" s="27"/>
      <c r="J151" s="28"/>
      <c r="K151" s="29"/>
      <c r="L151" s="158"/>
      <c r="M151" s="13"/>
    </row>
    <row r="152" spans="2:13" ht="63.75" collapsed="1" x14ac:dyDescent="0.2">
      <c r="B152" s="188">
        <v>3</v>
      </c>
      <c r="C152" s="191"/>
      <c r="D152" s="11" t="s">
        <v>9</v>
      </c>
      <c r="E152" s="12" t="s">
        <v>5</v>
      </c>
      <c r="F152" s="11" t="s">
        <v>6</v>
      </c>
      <c r="G152" s="11" t="s">
        <v>7</v>
      </c>
      <c r="H152" s="11" t="s">
        <v>8</v>
      </c>
      <c r="I152" s="12" t="s">
        <v>19</v>
      </c>
      <c r="J152" s="21" t="s">
        <v>20</v>
      </c>
      <c r="K152" s="32" t="s">
        <v>124</v>
      </c>
      <c r="L152" s="159" t="s">
        <v>125</v>
      </c>
      <c r="M152" s="33" t="s">
        <v>202</v>
      </c>
    </row>
    <row r="153" spans="2:13" ht="15.75" x14ac:dyDescent="0.2">
      <c r="B153" s="189"/>
      <c r="C153" s="192"/>
      <c r="D153" s="111">
        <v>1</v>
      </c>
      <c r="E153" s="14">
        <v>1.96478</v>
      </c>
      <c r="F153" s="14">
        <f t="shared" ref="F153" si="10">IF($D$2*D153&lt;=200,0.33,0.25)</f>
        <v>0.33</v>
      </c>
      <c r="G153" s="14">
        <f t="shared" ref="G153:G154" si="11">E153*F153</f>
        <v>0.64837739999999999</v>
      </c>
      <c r="H153" s="15">
        <f t="shared" ref="H153:H154" si="12">IF(($D$2*D153)&gt;40,750,IF(AND(8&lt;=($D$2*D153),($D$2*D153)&lt;=40),850,1000))</f>
        <v>750</v>
      </c>
      <c r="I153" s="15">
        <f t="shared" ref="I153:I154" si="13">(E153*F153*H153)</f>
        <v>486.28305</v>
      </c>
      <c r="J153" s="22">
        <f>D153*I153</f>
        <v>486.28305</v>
      </c>
      <c r="K153" s="113"/>
      <c r="L153" s="155"/>
      <c r="M153" s="176">
        <f>IFERROR((180/($D$2*D153)),0)</f>
        <v>2.6086956521739131</v>
      </c>
    </row>
    <row r="154" spans="2:13" ht="16.5" thickBot="1" x14ac:dyDescent="0.25">
      <c r="B154" s="190"/>
      <c r="C154" s="16"/>
      <c r="D154" s="114">
        <v>1</v>
      </c>
      <c r="E154" s="17">
        <v>7</v>
      </c>
      <c r="F154" s="152">
        <f t="shared" ref="F154" si="14">IF($D$2*D153&lt;=200,0.017,0.0085)</f>
        <v>1.7000000000000001E-2</v>
      </c>
      <c r="G154" s="18">
        <f t="shared" si="11"/>
        <v>0.11900000000000001</v>
      </c>
      <c r="H154" s="115">
        <f t="shared" si="12"/>
        <v>750</v>
      </c>
      <c r="I154" s="115">
        <f t="shared" si="13"/>
        <v>89.25</v>
      </c>
      <c r="J154" s="23">
        <f>D154*I154</f>
        <v>89.25</v>
      </c>
      <c r="K154" s="116">
        <f t="shared" ref="K154" si="15">G153*D153+G154*D154</f>
        <v>0.76737739999999999</v>
      </c>
      <c r="L154" s="156">
        <f t="shared" ref="L154" si="16">J153+J154</f>
        <v>575.53305</v>
      </c>
      <c r="M154" s="177"/>
    </row>
    <row r="155" spans="2:13" hidden="1" outlineLevel="1" x14ac:dyDescent="0.2">
      <c r="B155" s="20"/>
      <c r="C155" s="20" t="s">
        <v>298</v>
      </c>
      <c r="D155" s="112">
        <v>1</v>
      </c>
      <c r="E155" s="20"/>
      <c r="F155" s="20"/>
      <c r="G155" s="20"/>
      <c r="H155" s="20"/>
      <c r="I155" s="20"/>
      <c r="J155" s="24"/>
      <c r="K155" s="30"/>
      <c r="L155" s="157"/>
      <c r="M155" s="26"/>
    </row>
    <row r="156" spans="2:13" hidden="1" outlineLevel="1" x14ac:dyDescent="0.2">
      <c r="B156" s="19"/>
      <c r="C156" s="20" t="s">
        <v>299</v>
      </c>
      <c r="D156" s="112">
        <v>2</v>
      </c>
      <c r="E156" s="19"/>
      <c r="F156" s="19"/>
      <c r="G156" s="19"/>
      <c r="H156" s="19"/>
      <c r="I156" s="19"/>
      <c r="J156" s="25"/>
      <c r="K156" s="26"/>
      <c r="L156" s="103"/>
      <c r="M156" s="26"/>
    </row>
    <row r="157" spans="2:13" hidden="1" outlineLevel="1" x14ac:dyDescent="0.2">
      <c r="B157" s="19"/>
      <c r="C157" s="20" t="s">
        <v>300</v>
      </c>
      <c r="D157" s="112">
        <v>1</v>
      </c>
      <c r="E157" s="19"/>
      <c r="F157" s="19"/>
      <c r="G157" s="19"/>
      <c r="H157" s="19"/>
      <c r="I157" s="19"/>
      <c r="J157" s="25"/>
      <c r="K157" s="26"/>
      <c r="L157" s="103"/>
      <c r="M157" s="26"/>
    </row>
    <row r="158" spans="2:13" hidden="1" outlineLevel="1" x14ac:dyDescent="0.2">
      <c r="B158" s="19"/>
      <c r="C158" s="20" t="s">
        <v>301</v>
      </c>
      <c r="D158" s="112">
        <v>1</v>
      </c>
      <c r="E158" s="19"/>
      <c r="F158" s="19"/>
      <c r="G158" s="19"/>
      <c r="H158" s="19"/>
      <c r="I158" s="19"/>
      <c r="J158" s="25"/>
      <c r="K158" s="26"/>
      <c r="L158" s="103"/>
      <c r="M158" s="26"/>
    </row>
    <row r="159" spans="2:13" hidden="1" outlineLevel="1" x14ac:dyDescent="0.2">
      <c r="B159" s="19"/>
      <c r="C159" s="20" t="s">
        <v>302</v>
      </c>
      <c r="D159" s="112">
        <v>1</v>
      </c>
      <c r="E159" s="19"/>
      <c r="F159" s="19"/>
      <c r="G159" s="19"/>
      <c r="H159" s="19"/>
      <c r="I159" s="19"/>
      <c r="J159" s="25"/>
      <c r="K159" s="26"/>
      <c r="L159" s="103"/>
      <c r="M159" s="26"/>
    </row>
    <row r="160" spans="2:13" ht="15.75" hidden="1" outlineLevel="1" thickBot="1" x14ac:dyDescent="0.25">
      <c r="B160" s="27"/>
      <c r="C160" s="20" t="s">
        <v>303</v>
      </c>
      <c r="D160" s="112">
        <v>1</v>
      </c>
      <c r="E160" s="27"/>
      <c r="F160" s="27"/>
      <c r="G160" s="27"/>
      <c r="H160" s="27"/>
      <c r="I160" s="27"/>
      <c r="J160" s="28"/>
      <c r="K160" s="29"/>
      <c r="L160" s="158"/>
      <c r="M160" s="26"/>
    </row>
    <row r="161" spans="2:13" ht="63.75" collapsed="1" x14ac:dyDescent="0.2">
      <c r="B161" s="188">
        <v>4</v>
      </c>
      <c r="C161" s="191"/>
      <c r="D161" s="11" t="s">
        <v>9</v>
      </c>
      <c r="E161" s="12" t="s">
        <v>5</v>
      </c>
      <c r="F161" s="11" t="s">
        <v>6</v>
      </c>
      <c r="G161" s="11" t="s">
        <v>7</v>
      </c>
      <c r="H161" s="11" t="s">
        <v>8</v>
      </c>
      <c r="I161" s="12" t="s">
        <v>19</v>
      </c>
      <c r="J161" s="21" t="s">
        <v>20</v>
      </c>
      <c r="K161" s="32" t="s">
        <v>124</v>
      </c>
      <c r="L161" s="159" t="s">
        <v>125</v>
      </c>
      <c r="M161" s="33" t="s">
        <v>202</v>
      </c>
    </row>
    <row r="162" spans="2:13" ht="15.75" x14ac:dyDescent="0.2">
      <c r="B162" s="189"/>
      <c r="C162" s="192"/>
      <c r="D162" s="111">
        <v>2</v>
      </c>
      <c r="E162" s="14">
        <v>0.42</v>
      </c>
      <c r="F162" s="14">
        <f t="shared" ref="F162" si="17">IF($D$2*D162&lt;=200,0.33,0.25)</f>
        <v>0.33</v>
      </c>
      <c r="G162" s="14">
        <f t="shared" ref="G162:G163" si="18">E162*F162</f>
        <v>0.1386</v>
      </c>
      <c r="H162" s="15">
        <f t="shared" ref="H162:H163" si="19">IF(($D$2*D162)&gt;40,750,IF(AND(8&lt;=($D$2*D162),($D$2*D162)&lt;=40),850,1000))</f>
        <v>750</v>
      </c>
      <c r="I162" s="15">
        <f t="shared" ref="I162:I163" si="20">(E162*F162*H162)</f>
        <v>103.95</v>
      </c>
      <c r="J162" s="22">
        <f>D162*I162</f>
        <v>207.9</v>
      </c>
      <c r="K162" s="113"/>
      <c r="L162" s="155"/>
      <c r="M162" s="176">
        <f>IFERROR((180/($D$2*D162)),0)</f>
        <v>1.3043478260869565</v>
      </c>
    </row>
    <row r="163" spans="2:13" ht="16.5" thickBot="1" x14ac:dyDescent="0.25">
      <c r="B163" s="190"/>
      <c r="C163" s="16"/>
      <c r="D163" s="114">
        <v>2</v>
      </c>
      <c r="E163" s="17">
        <v>2</v>
      </c>
      <c r="F163" s="152">
        <f t="shared" ref="F163" si="21">IF($D$2*D162&lt;=200,0.017,0.0085)</f>
        <v>1.7000000000000001E-2</v>
      </c>
      <c r="G163" s="18">
        <f t="shared" si="18"/>
        <v>3.4000000000000002E-2</v>
      </c>
      <c r="H163" s="115">
        <f t="shared" si="19"/>
        <v>750</v>
      </c>
      <c r="I163" s="115">
        <f t="shared" si="20"/>
        <v>25.500000000000004</v>
      </c>
      <c r="J163" s="23">
        <f>D163*I163</f>
        <v>51.000000000000007</v>
      </c>
      <c r="K163" s="116">
        <f t="shared" ref="K163" si="22">G162*D162+G163*D163</f>
        <v>0.34520000000000001</v>
      </c>
      <c r="L163" s="156">
        <f t="shared" ref="L163" si="23">J162+J163</f>
        <v>258.90000000000003</v>
      </c>
      <c r="M163" s="177"/>
    </row>
    <row r="164" spans="2:13" hidden="1" outlineLevel="1" x14ac:dyDescent="0.2">
      <c r="B164" s="20"/>
      <c r="C164" s="20" t="s">
        <v>304</v>
      </c>
      <c r="D164" s="112">
        <v>1</v>
      </c>
      <c r="E164" s="20"/>
      <c r="F164" s="20"/>
      <c r="G164" s="20"/>
      <c r="H164" s="20"/>
      <c r="I164" s="20"/>
      <c r="J164" s="24"/>
      <c r="K164" s="30"/>
      <c r="L164" s="157"/>
      <c r="M164" s="26"/>
    </row>
    <row r="165" spans="2:13" hidden="1" outlineLevel="1" x14ac:dyDescent="0.2">
      <c r="B165" s="19"/>
      <c r="C165" s="20" t="s">
        <v>305</v>
      </c>
      <c r="D165" s="112">
        <v>1</v>
      </c>
      <c r="E165" s="19"/>
      <c r="F165" s="19"/>
      <c r="G165" s="19"/>
      <c r="H165" s="19"/>
      <c r="I165" s="19"/>
      <c r="J165" s="25"/>
      <c r="K165" s="26"/>
      <c r="L165" s="103"/>
      <c r="M165" s="26"/>
    </row>
    <row r="166" spans="2:13" hidden="1" outlineLevel="1" x14ac:dyDescent="0.2">
      <c r="B166" s="19"/>
      <c r="C166" s="20"/>
      <c r="D166" s="112"/>
      <c r="E166" s="19"/>
      <c r="F166" s="19"/>
      <c r="G166" s="19"/>
      <c r="H166" s="19"/>
      <c r="I166" s="19"/>
      <c r="J166" s="25"/>
      <c r="K166" s="26"/>
      <c r="L166" s="103"/>
      <c r="M166" s="26"/>
    </row>
    <row r="167" spans="2:13" hidden="1" outlineLevel="1" x14ac:dyDescent="0.2">
      <c r="B167" s="19"/>
      <c r="C167" s="20"/>
      <c r="D167" s="112"/>
      <c r="E167" s="19"/>
      <c r="F167" s="19"/>
      <c r="G167" s="19"/>
      <c r="H167" s="19"/>
      <c r="I167" s="19"/>
      <c r="J167" s="25"/>
      <c r="K167" s="26"/>
      <c r="L167" s="103"/>
      <c r="M167" s="26"/>
    </row>
    <row r="168" spans="2:13" hidden="1" outlineLevel="1" x14ac:dyDescent="0.2">
      <c r="B168" s="19"/>
      <c r="C168" s="20"/>
      <c r="D168" s="112"/>
      <c r="E168" s="19"/>
      <c r="F168" s="19"/>
      <c r="G168" s="19"/>
      <c r="H168" s="19"/>
      <c r="I168" s="19"/>
      <c r="J168" s="25"/>
      <c r="K168" s="26"/>
      <c r="L168" s="103"/>
      <c r="M168" s="26"/>
    </row>
    <row r="169" spans="2:13" ht="15.75" hidden="1" outlineLevel="1" thickBot="1" x14ac:dyDescent="0.25">
      <c r="B169" s="27"/>
      <c r="C169" s="20"/>
      <c r="D169" s="112"/>
      <c r="E169" s="27"/>
      <c r="F169" s="27"/>
      <c r="G169" s="27"/>
      <c r="H169" s="27"/>
      <c r="I169" s="27"/>
      <c r="J169" s="28"/>
      <c r="K169" s="29"/>
      <c r="L169" s="158"/>
      <c r="M169" s="26"/>
    </row>
    <row r="170" spans="2:13" ht="63.75" collapsed="1" x14ac:dyDescent="0.2">
      <c r="B170" s="188">
        <v>5</v>
      </c>
      <c r="C170" s="191"/>
      <c r="D170" s="11" t="s">
        <v>9</v>
      </c>
      <c r="E170" s="12" t="s">
        <v>5</v>
      </c>
      <c r="F170" s="11" t="s">
        <v>6</v>
      </c>
      <c r="G170" s="11" t="s">
        <v>7</v>
      </c>
      <c r="H170" s="11" t="s">
        <v>8</v>
      </c>
      <c r="I170" s="12" t="s">
        <v>19</v>
      </c>
      <c r="J170" s="21" t="s">
        <v>20</v>
      </c>
      <c r="K170" s="32" t="s">
        <v>124</v>
      </c>
      <c r="L170" s="159" t="s">
        <v>125</v>
      </c>
      <c r="M170" s="33" t="s">
        <v>202</v>
      </c>
    </row>
    <row r="171" spans="2:13" ht="15.75" x14ac:dyDescent="0.2">
      <c r="B171" s="189"/>
      <c r="C171" s="192"/>
      <c r="D171" s="111">
        <v>2</v>
      </c>
      <c r="E171" s="14">
        <v>1.83497</v>
      </c>
      <c r="F171" s="14">
        <f t="shared" ref="F171" si="24">IF($D$2*D171&lt;=200,0.33,0.25)</f>
        <v>0.33</v>
      </c>
      <c r="G171" s="14">
        <f t="shared" ref="G171:G172" si="25">E171*F171</f>
        <v>0.60554010000000003</v>
      </c>
      <c r="H171" s="15">
        <f t="shared" ref="H171:H172" si="26">IF(($D$2*D171)&gt;40,750,IF(AND(8&lt;=($D$2*D171),($D$2*D171)&lt;=40),850,1000))</f>
        <v>750</v>
      </c>
      <c r="I171" s="15">
        <f t="shared" ref="I171:I172" si="27">(E171*F171*H171)</f>
        <v>454.15507500000001</v>
      </c>
      <c r="J171" s="22">
        <f>D171*I171</f>
        <v>908.31015000000002</v>
      </c>
      <c r="K171" s="113"/>
      <c r="L171" s="155"/>
      <c r="M171" s="176">
        <f>IFERROR((180/($D$2*D171)),0)</f>
        <v>1.3043478260869565</v>
      </c>
    </row>
    <row r="172" spans="2:13" ht="16.5" thickBot="1" x14ac:dyDescent="0.25">
      <c r="B172" s="190"/>
      <c r="C172" s="16"/>
      <c r="D172" s="114">
        <v>2</v>
      </c>
      <c r="E172" s="17">
        <v>12</v>
      </c>
      <c r="F172" s="152">
        <f t="shared" ref="F172" si="28">IF($D$2*D171&lt;=200,0.017,0.0085)</f>
        <v>1.7000000000000001E-2</v>
      </c>
      <c r="G172" s="18">
        <f t="shared" si="25"/>
        <v>0.20400000000000001</v>
      </c>
      <c r="H172" s="115">
        <f t="shared" si="26"/>
        <v>750</v>
      </c>
      <c r="I172" s="115">
        <f t="shared" si="27"/>
        <v>153</v>
      </c>
      <c r="J172" s="23">
        <f>D172*I172</f>
        <v>306</v>
      </c>
      <c r="K172" s="116">
        <f t="shared" ref="K172" si="29">G171*D171+G172*D172</f>
        <v>1.6190802</v>
      </c>
      <c r="L172" s="156">
        <f t="shared" ref="L172" si="30">J171+J172</f>
        <v>1214.31015</v>
      </c>
      <c r="M172" s="177"/>
    </row>
    <row r="173" spans="2:13" hidden="1" outlineLevel="1" x14ac:dyDescent="0.2">
      <c r="B173" s="20"/>
      <c r="C173" s="20" t="s">
        <v>306</v>
      </c>
      <c r="D173" s="112">
        <v>7</v>
      </c>
      <c r="E173" s="20"/>
      <c r="F173" s="20"/>
      <c r="G173" s="20"/>
      <c r="H173" s="20"/>
      <c r="I173" s="20"/>
      <c r="J173" s="24"/>
      <c r="K173" s="30"/>
      <c r="L173" s="157"/>
      <c r="M173" s="26"/>
    </row>
    <row r="174" spans="2:13" hidden="1" outlineLevel="1" x14ac:dyDescent="0.2">
      <c r="B174" s="19"/>
      <c r="C174" s="20" t="s">
        <v>307</v>
      </c>
      <c r="D174" s="112">
        <v>1</v>
      </c>
      <c r="E174" s="19"/>
      <c r="F174" s="19"/>
      <c r="G174" s="19"/>
      <c r="H174" s="19"/>
      <c r="I174" s="19"/>
      <c r="J174" s="25"/>
      <c r="K174" s="26"/>
      <c r="L174" s="103"/>
      <c r="M174" s="26"/>
    </row>
    <row r="175" spans="2:13" hidden="1" outlineLevel="1" x14ac:dyDescent="0.2">
      <c r="B175" s="19"/>
      <c r="C175" s="20" t="s">
        <v>308</v>
      </c>
      <c r="D175" s="112">
        <v>2</v>
      </c>
      <c r="E175" s="19"/>
      <c r="F175" s="19"/>
      <c r="G175" s="19"/>
      <c r="H175" s="19"/>
      <c r="I175" s="19"/>
      <c r="J175" s="25"/>
      <c r="K175" s="26"/>
      <c r="L175" s="103"/>
      <c r="M175" s="26"/>
    </row>
    <row r="176" spans="2:13" hidden="1" outlineLevel="1" x14ac:dyDescent="0.2">
      <c r="B176" s="19"/>
      <c r="C176" s="20" t="s">
        <v>309</v>
      </c>
      <c r="D176" s="112">
        <v>1</v>
      </c>
      <c r="E176" s="19"/>
      <c r="F176" s="19"/>
      <c r="G176" s="19"/>
      <c r="H176" s="19"/>
      <c r="I176" s="19"/>
      <c r="J176" s="25"/>
      <c r="K176" s="26"/>
      <c r="L176" s="103"/>
      <c r="M176" s="26"/>
    </row>
    <row r="177" spans="2:13" hidden="1" outlineLevel="1" x14ac:dyDescent="0.2">
      <c r="B177" s="19"/>
      <c r="C177" s="20" t="s">
        <v>310</v>
      </c>
      <c r="D177" s="112">
        <v>1</v>
      </c>
      <c r="E177" s="19"/>
      <c r="F177" s="19"/>
      <c r="G177" s="19"/>
      <c r="H177" s="19"/>
      <c r="I177" s="19"/>
      <c r="J177" s="25"/>
      <c r="K177" s="26"/>
      <c r="L177" s="103"/>
      <c r="M177" s="26"/>
    </row>
    <row r="178" spans="2:13" ht="15.75" hidden="1" outlineLevel="1" thickBot="1" x14ac:dyDescent="0.25">
      <c r="B178" s="27"/>
      <c r="C178" s="20"/>
      <c r="D178" s="112"/>
      <c r="E178" s="27"/>
      <c r="F178" s="27"/>
      <c r="G178" s="27"/>
      <c r="H178" s="27"/>
      <c r="I178" s="27"/>
      <c r="J178" s="28"/>
      <c r="K178" s="29"/>
      <c r="L178" s="158"/>
      <c r="M178" s="26"/>
    </row>
    <row r="179" spans="2:13" ht="63.75" collapsed="1" x14ac:dyDescent="0.2">
      <c r="B179" s="188">
        <v>6</v>
      </c>
      <c r="C179" s="191"/>
      <c r="D179" s="11" t="s">
        <v>9</v>
      </c>
      <c r="E179" s="12" t="s">
        <v>5</v>
      </c>
      <c r="F179" s="11" t="s">
        <v>6</v>
      </c>
      <c r="G179" s="11" t="s">
        <v>7</v>
      </c>
      <c r="H179" s="11" t="s">
        <v>8</v>
      </c>
      <c r="I179" s="12" t="s">
        <v>19</v>
      </c>
      <c r="J179" s="21" t="s">
        <v>20</v>
      </c>
      <c r="K179" s="32" t="s">
        <v>124</v>
      </c>
      <c r="L179" s="159" t="s">
        <v>125</v>
      </c>
      <c r="M179" s="33" t="s">
        <v>202</v>
      </c>
    </row>
    <row r="180" spans="2:13" ht="15.75" x14ac:dyDescent="0.2">
      <c r="B180" s="189"/>
      <c r="C180" s="192"/>
      <c r="D180" s="111">
        <v>1</v>
      </c>
      <c r="E180" s="14">
        <v>2.0326300000000002</v>
      </c>
      <c r="F180" s="14">
        <f t="shared" ref="F180" si="31">IF($D$2*D180&lt;=200,0.33,0.25)</f>
        <v>0.33</v>
      </c>
      <c r="G180" s="14">
        <f t="shared" ref="G180:G181" si="32">E180*F180</f>
        <v>0.67076790000000008</v>
      </c>
      <c r="H180" s="15">
        <f t="shared" ref="H180:H181" si="33">IF(($D$2*D180)&gt;40,750,IF(AND(8&lt;=($D$2*D180),($D$2*D180)&lt;=40),850,1000))</f>
        <v>750</v>
      </c>
      <c r="I180" s="15">
        <f t="shared" ref="I180:I181" si="34">(E180*F180*H180)</f>
        <v>503.07592500000004</v>
      </c>
      <c r="J180" s="22">
        <f>D180*I180</f>
        <v>503.07592500000004</v>
      </c>
      <c r="K180" s="113"/>
      <c r="L180" s="155"/>
      <c r="M180" s="176">
        <f>IFERROR((180/($D$2*D180)),0)</f>
        <v>2.6086956521739131</v>
      </c>
    </row>
    <row r="181" spans="2:13" ht="16.5" thickBot="1" x14ac:dyDescent="0.25">
      <c r="B181" s="190"/>
      <c r="C181" s="16"/>
      <c r="D181" s="114">
        <v>1</v>
      </c>
      <c r="E181" s="17">
        <v>7</v>
      </c>
      <c r="F181" s="152">
        <f t="shared" ref="F181" si="35">IF($D$2*D180&lt;=200,0.017,0.0085)</f>
        <v>1.7000000000000001E-2</v>
      </c>
      <c r="G181" s="18">
        <f t="shared" si="32"/>
        <v>0.11900000000000001</v>
      </c>
      <c r="H181" s="115">
        <f t="shared" si="33"/>
        <v>750</v>
      </c>
      <c r="I181" s="115">
        <f t="shared" si="34"/>
        <v>89.25</v>
      </c>
      <c r="J181" s="23">
        <f>D181*I181</f>
        <v>89.25</v>
      </c>
      <c r="K181" s="116">
        <f t="shared" ref="K181" si="36">G180*D180+G181*D181</f>
        <v>0.78976790000000008</v>
      </c>
      <c r="L181" s="156">
        <f t="shared" ref="L181" si="37">J180+J181</f>
        <v>592.3259250000001</v>
      </c>
      <c r="M181" s="177"/>
    </row>
    <row r="182" spans="2:13" hidden="1" outlineLevel="1" x14ac:dyDescent="0.2">
      <c r="B182" s="20"/>
      <c r="C182" s="20" t="s">
        <v>311</v>
      </c>
      <c r="D182" s="112">
        <v>1</v>
      </c>
      <c r="E182" s="20"/>
      <c r="F182" s="20"/>
      <c r="G182" s="20"/>
      <c r="H182" s="20"/>
      <c r="I182" s="20"/>
      <c r="J182" s="24"/>
      <c r="K182" s="30"/>
      <c r="L182" s="157"/>
      <c r="M182" s="26"/>
    </row>
    <row r="183" spans="2:13" hidden="1" outlineLevel="1" x14ac:dyDescent="0.2">
      <c r="B183" s="19"/>
      <c r="C183" s="20" t="s">
        <v>312</v>
      </c>
      <c r="D183" s="112">
        <v>2</v>
      </c>
      <c r="E183" s="19"/>
      <c r="F183" s="19"/>
      <c r="G183" s="19"/>
      <c r="H183" s="19"/>
      <c r="I183" s="19"/>
      <c r="J183" s="25"/>
      <c r="K183" s="26"/>
      <c r="L183" s="103"/>
      <c r="M183" s="26"/>
    </row>
    <row r="184" spans="2:13" hidden="1" outlineLevel="1" x14ac:dyDescent="0.2">
      <c r="B184" s="19"/>
      <c r="C184" s="20" t="s">
        <v>313</v>
      </c>
      <c r="D184" s="112">
        <v>1</v>
      </c>
      <c r="E184" s="19"/>
      <c r="F184" s="19"/>
      <c r="G184" s="19"/>
      <c r="H184" s="19"/>
      <c r="I184" s="19"/>
      <c r="J184" s="25"/>
      <c r="K184" s="26"/>
      <c r="L184" s="103"/>
      <c r="M184" s="26"/>
    </row>
    <row r="185" spans="2:13" hidden="1" outlineLevel="1" x14ac:dyDescent="0.2">
      <c r="B185" s="19"/>
      <c r="C185" s="20" t="s">
        <v>314</v>
      </c>
      <c r="D185" s="112">
        <v>1</v>
      </c>
      <c r="E185" s="19"/>
      <c r="F185" s="19"/>
      <c r="G185" s="19"/>
      <c r="H185" s="19"/>
      <c r="I185" s="19"/>
      <c r="J185" s="25"/>
      <c r="K185" s="26"/>
      <c r="L185" s="103"/>
      <c r="M185" s="26"/>
    </row>
    <row r="186" spans="2:13" hidden="1" outlineLevel="1" x14ac:dyDescent="0.2">
      <c r="B186" s="19"/>
      <c r="C186" s="20" t="s">
        <v>315</v>
      </c>
      <c r="D186" s="112">
        <v>2</v>
      </c>
      <c r="E186" s="19"/>
      <c r="F186" s="19"/>
      <c r="G186" s="19"/>
      <c r="H186" s="19"/>
      <c r="I186" s="19"/>
      <c r="J186" s="25"/>
      <c r="K186" s="26"/>
      <c r="L186" s="103"/>
      <c r="M186" s="26"/>
    </row>
    <row r="187" spans="2:13" ht="15.75" hidden="1" outlineLevel="1" thickBot="1" x14ac:dyDescent="0.25">
      <c r="B187" s="27"/>
      <c r="C187" s="20"/>
      <c r="D187" s="112"/>
      <c r="E187" s="27"/>
      <c r="F187" s="27"/>
      <c r="G187" s="27"/>
      <c r="H187" s="27"/>
      <c r="I187" s="27"/>
      <c r="J187" s="28"/>
      <c r="K187" s="29"/>
      <c r="L187" s="158"/>
      <c r="M187" s="26"/>
    </row>
    <row r="188" spans="2:13" ht="63.75" collapsed="1" x14ac:dyDescent="0.2">
      <c r="B188" s="188">
        <v>7</v>
      </c>
      <c r="C188" s="191"/>
      <c r="D188" s="11" t="s">
        <v>9</v>
      </c>
      <c r="E188" s="12" t="s">
        <v>5</v>
      </c>
      <c r="F188" s="11" t="s">
        <v>6</v>
      </c>
      <c r="G188" s="11" t="s">
        <v>7</v>
      </c>
      <c r="H188" s="11" t="s">
        <v>8</v>
      </c>
      <c r="I188" s="12" t="s">
        <v>19</v>
      </c>
      <c r="J188" s="21" t="s">
        <v>20</v>
      </c>
      <c r="K188" s="32" t="s">
        <v>124</v>
      </c>
      <c r="L188" s="159" t="s">
        <v>125</v>
      </c>
      <c r="M188" s="33" t="s">
        <v>202</v>
      </c>
    </row>
    <row r="189" spans="2:13" ht="15.75" x14ac:dyDescent="0.2">
      <c r="B189" s="189"/>
      <c r="C189" s="192"/>
      <c r="D189" s="111">
        <v>1</v>
      </c>
      <c r="E189" s="14">
        <v>0.33140999999999998</v>
      </c>
      <c r="F189" s="14">
        <f t="shared" ref="F189" si="38">IF($D$2*D189&lt;=200,0.33,0.25)</f>
        <v>0.33</v>
      </c>
      <c r="G189" s="14">
        <f t="shared" ref="G189:G190" si="39">E189*F189</f>
        <v>0.1093653</v>
      </c>
      <c r="H189" s="15">
        <f t="shared" ref="H189:H190" si="40">IF(($D$2*D189)&gt;40,750,IF(AND(8&lt;=($D$2*D189),($D$2*D189)&lt;=40),850,1000))</f>
        <v>750</v>
      </c>
      <c r="I189" s="15">
        <f t="shared" ref="I189:I190" si="41">(E189*F189*H189)</f>
        <v>82.023974999999993</v>
      </c>
      <c r="J189" s="22">
        <f>D189*I189</f>
        <v>82.023974999999993</v>
      </c>
      <c r="K189" s="113"/>
      <c r="L189" s="155"/>
      <c r="M189" s="176">
        <f>IFERROR((180/($D$2*D189)),0)</f>
        <v>2.6086956521739131</v>
      </c>
    </row>
    <row r="190" spans="2:13" ht="16.5" thickBot="1" x14ac:dyDescent="0.25">
      <c r="B190" s="190"/>
      <c r="C190" s="16"/>
      <c r="D190" s="114">
        <v>1</v>
      </c>
      <c r="E190" s="17">
        <v>3</v>
      </c>
      <c r="F190" s="152">
        <f t="shared" ref="F190" si="42">IF($D$2*D189&lt;=200,0.017,0.0085)</f>
        <v>1.7000000000000001E-2</v>
      </c>
      <c r="G190" s="18">
        <f t="shared" si="39"/>
        <v>5.1000000000000004E-2</v>
      </c>
      <c r="H190" s="115">
        <f t="shared" si="40"/>
        <v>750</v>
      </c>
      <c r="I190" s="115">
        <f t="shared" si="41"/>
        <v>38.25</v>
      </c>
      <c r="J190" s="23">
        <f>D190*I190</f>
        <v>38.25</v>
      </c>
      <c r="K190" s="116">
        <f t="shared" ref="K190" si="43">G189*D189+G190*D190</f>
        <v>0.16036529999999999</v>
      </c>
      <c r="L190" s="156">
        <f t="shared" ref="L190" si="44">J189+J190</f>
        <v>120.27397499999999</v>
      </c>
      <c r="M190" s="177"/>
    </row>
    <row r="191" spans="2:13" hidden="1" outlineLevel="1" x14ac:dyDescent="0.2">
      <c r="B191" s="20"/>
      <c r="C191" s="20" t="s">
        <v>316</v>
      </c>
      <c r="D191" s="112">
        <v>1</v>
      </c>
      <c r="E191" s="20"/>
      <c r="F191" s="20"/>
      <c r="G191" s="20"/>
      <c r="H191" s="20"/>
      <c r="I191" s="20"/>
      <c r="J191" s="24"/>
      <c r="K191" s="30"/>
      <c r="L191" s="157"/>
      <c r="M191" s="26"/>
    </row>
    <row r="192" spans="2:13" hidden="1" outlineLevel="1" x14ac:dyDescent="0.2">
      <c r="B192" s="19"/>
      <c r="C192" s="20" t="s">
        <v>317</v>
      </c>
      <c r="D192" s="112">
        <v>1</v>
      </c>
      <c r="E192" s="19"/>
      <c r="F192" s="19"/>
      <c r="G192" s="19"/>
      <c r="H192" s="19"/>
      <c r="I192" s="19"/>
      <c r="J192" s="25"/>
      <c r="K192" s="26"/>
      <c r="L192" s="103"/>
      <c r="M192" s="26"/>
    </row>
    <row r="193" spans="2:13" hidden="1" outlineLevel="1" x14ac:dyDescent="0.2">
      <c r="B193" s="19"/>
      <c r="C193" s="20" t="s">
        <v>318</v>
      </c>
      <c r="D193" s="112">
        <v>1</v>
      </c>
      <c r="E193" s="19"/>
      <c r="F193" s="19"/>
      <c r="G193" s="19"/>
      <c r="H193" s="19"/>
      <c r="I193" s="19"/>
      <c r="J193" s="25"/>
      <c r="K193" s="26"/>
      <c r="L193" s="103"/>
      <c r="M193" s="26"/>
    </row>
    <row r="194" spans="2:13" hidden="1" outlineLevel="1" x14ac:dyDescent="0.2">
      <c r="B194" s="19"/>
      <c r="C194" s="20"/>
      <c r="D194" s="112"/>
      <c r="E194" s="19"/>
      <c r="F194" s="19"/>
      <c r="G194" s="19"/>
      <c r="H194" s="19"/>
      <c r="I194" s="19"/>
      <c r="J194" s="25"/>
      <c r="K194" s="26"/>
      <c r="L194" s="103"/>
      <c r="M194" s="26"/>
    </row>
    <row r="195" spans="2:13" hidden="1" outlineLevel="1" x14ac:dyDescent="0.2">
      <c r="B195" s="19"/>
      <c r="C195" s="20"/>
      <c r="D195" s="112"/>
      <c r="E195" s="19"/>
      <c r="F195" s="19"/>
      <c r="G195" s="19"/>
      <c r="H195" s="19"/>
      <c r="I195" s="19"/>
      <c r="J195" s="25"/>
      <c r="K195" s="26"/>
      <c r="L195" s="103"/>
      <c r="M195" s="26"/>
    </row>
    <row r="196" spans="2:13" ht="15.75" hidden="1" outlineLevel="1" thickBot="1" x14ac:dyDescent="0.25">
      <c r="B196" s="27"/>
      <c r="C196" s="20"/>
      <c r="D196" s="112"/>
      <c r="E196" s="27"/>
      <c r="F196" s="27"/>
      <c r="G196" s="27"/>
      <c r="H196" s="27"/>
      <c r="I196" s="27"/>
      <c r="J196" s="28"/>
      <c r="K196" s="29"/>
      <c r="L196" s="158"/>
      <c r="M196" s="26"/>
    </row>
    <row r="197" spans="2:13" ht="63.75" collapsed="1" x14ac:dyDescent="0.2">
      <c r="B197" s="188">
        <v>8</v>
      </c>
      <c r="C197" s="191"/>
      <c r="D197" s="11" t="s">
        <v>9</v>
      </c>
      <c r="E197" s="12" t="s">
        <v>5</v>
      </c>
      <c r="F197" s="11" t="s">
        <v>6</v>
      </c>
      <c r="G197" s="11" t="s">
        <v>7</v>
      </c>
      <c r="H197" s="11" t="s">
        <v>8</v>
      </c>
      <c r="I197" s="12" t="s">
        <v>19</v>
      </c>
      <c r="J197" s="21" t="s">
        <v>20</v>
      </c>
      <c r="K197" s="32" t="s">
        <v>124</v>
      </c>
      <c r="L197" s="159" t="s">
        <v>125</v>
      </c>
      <c r="M197" s="33" t="s">
        <v>202</v>
      </c>
    </row>
    <row r="198" spans="2:13" ht="15.75" x14ac:dyDescent="0.2">
      <c r="B198" s="189"/>
      <c r="C198" s="192"/>
      <c r="D198" s="111">
        <v>1</v>
      </c>
      <c r="E198" s="14">
        <v>0.29142000000000001</v>
      </c>
      <c r="F198" s="14">
        <f t="shared" ref="F198" si="45">IF($D$2*D198&lt;=200,0.33,0.25)</f>
        <v>0.33</v>
      </c>
      <c r="G198" s="14">
        <f t="shared" ref="G198:G199" si="46">E198*F198</f>
        <v>9.6168600000000007E-2</v>
      </c>
      <c r="H198" s="15">
        <f t="shared" ref="H198:H199" si="47">IF(($D$2*D198)&gt;40,750,IF(AND(8&lt;=($D$2*D198),($D$2*D198)&lt;=40),850,1000))</f>
        <v>750</v>
      </c>
      <c r="I198" s="15">
        <f t="shared" ref="I198:I199" si="48">(E198*F198*H198)</f>
        <v>72.126450000000006</v>
      </c>
      <c r="J198" s="22">
        <f>D198*I198</f>
        <v>72.126450000000006</v>
      </c>
      <c r="K198" s="113"/>
      <c r="L198" s="155"/>
      <c r="M198" s="176">
        <f>IFERROR((180/($D$2*D198)),0)</f>
        <v>2.6086956521739131</v>
      </c>
    </row>
    <row r="199" spans="2:13" ht="16.5" thickBot="1" x14ac:dyDescent="0.25">
      <c r="B199" s="190"/>
      <c r="C199" s="16"/>
      <c r="D199" s="114">
        <v>1</v>
      </c>
      <c r="E199" s="17">
        <v>3</v>
      </c>
      <c r="F199" s="152">
        <f t="shared" ref="F199" si="49">IF($D$2*D198&lt;=200,0.017,0.0085)</f>
        <v>1.7000000000000001E-2</v>
      </c>
      <c r="G199" s="18">
        <f t="shared" si="46"/>
        <v>5.1000000000000004E-2</v>
      </c>
      <c r="H199" s="115">
        <f t="shared" si="47"/>
        <v>750</v>
      </c>
      <c r="I199" s="115">
        <f t="shared" si="48"/>
        <v>38.25</v>
      </c>
      <c r="J199" s="23">
        <f>D199*I199</f>
        <v>38.25</v>
      </c>
      <c r="K199" s="116">
        <f t="shared" ref="K199" si="50">G198*D198+G199*D199</f>
        <v>0.14716860000000001</v>
      </c>
      <c r="L199" s="156">
        <f t="shared" ref="L199" si="51">J198+J199</f>
        <v>110.37645000000001</v>
      </c>
      <c r="M199" s="177"/>
    </row>
    <row r="200" spans="2:13" hidden="1" outlineLevel="1" x14ac:dyDescent="0.2">
      <c r="B200" s="20"/>
      <c r="C200" s="20" t="s">
        <v>317</v>
      </c>
      <c r="D200" s="112">
        <v>1</v>
      </c>
      <c r="E200" s="20"/>
      <c r="F200" s="20"/>
      <c r="G200" s="20"/>
      <c r="H200" s="20"/>
      <c r="I200" s="20"/>
      <c r="J200" s="24"/>
      <c r="K200" s="30"/>
      <c r="L200" s="157"/>
      <c r="M200" s="26"/>
    </row>
    <row r="201" spans="2:13" hidden="1" outlineLevel="1" x14ac:dyDescent="0.2">
      <c r="B201" s="19"/>
      <c r="C201" s="20" t="s">
        <v>318</v>
      </c>
      <c r="D201" s="112">
        <v>1</v>
      </c>
      <c r="E201" s="19"/>
      <c r="F201" s="19"/>
      <c r="G201" s="19"/>
      <c r="H201" s="19"/>
      <c r="I201" s="19"/>
      <c r="J201" s="25"/>
      <c r="K201" s="26"/>
      <c r="L201" s="103"/>
      <c r="M201" s="26"/>
    </row>
    <row r="202" spans="2:13" hidden="1" outlineLevel="1" x14ac:dyDescent="0.2">
      <c r="B202" s="19"/>
      <c r="C202" s="20" t="s">
        <v>316</v>
      </c>
      <c r="D202" s="112">
        <v>1</v>
      </c>
      <c r="E202" s="19"/>
      <c r="F202" s="19"/>
      <c r="G202" s="19"/>
      <c r="H202" s="19"/>
      <c r="I202" s="19"/>
      <c r="J202" s="25"/>
      <c r="K202" s="26"/>
      <c r="L202" s="103"/>
      <c r="M202" s="26"/>
    </row>
    <row r="203" spans="2:13" hidden="1" outlineLevel="1" x14ac:dyDescent="0.2">
      <c r="B203" s="19"/>
      <c r="C203" s="20"/>
      <c r="D203" s="112"/>
      <c r="E203" s="19"/>
      <c r="F203" s="19"/>
      <c r="G203" s="19"/>
      <c r="H203" s="19"/>
      <c r="I203" s="19"/>
      <c r="J203" s="25"/>
      <c r="K203" s="26"/>
      <c r="L203" s="103"/>
      <c r="M203" s="26"/>
    </row>
    <row r="204" spans="2:13" hidden="1" outlineLevel="1" x14ac:dyDescent="0.2">
      <c r="B204" s="19"/>
      <c r="C204" s="20"/>
      <c r="D204" s="112"/>
      <c r="E204" s="19"/>
      <c r="F204" s="19"/>
      <c r="G204" s="19"/>
      <c r="H204" s="19"/>
      <c r="I204" s="19"/>
      <c r="J204" s="25"/>
      <c r="K204" s="26"/>
      <c r="L204" s="103"/>
      <c r="M204" s="26"/>
    </row>
    <row r="205" spans="2:13" ht="15.75" hidden="1" outlineLevel="1" thickBot="1" x14ac:dyDescent="0.25">
      <c r="B205" s="27"/>
      <c r="C205" s="20"/>
      <c r="D205" s="112"/>
      <c r="E205" s="27"/>
      <c r="F205" s="27"/>
      <c r="G205" s="27"/>
      <c r="H205" s="27"/>
      <c r="I205" s="27"/>
      <c r="J205" s="28"/>
      <c r="K205" s="29"/>
      <c r="L205" s="158"/>
      <c r="M205" s="26"/>
    </row>
    <row r="206" spans="2:13" ht="84" customHeight="1" collapsed="1" x14ac:dyDescent="0.2">
      <c r="B206" s="188">
        <v>9</v>
      </c>
      <c r="C206" s="191"/>
      <c r="D206" s="11" t="s">
        <v>9</v>
      </c>
      <c r="E206" s="12" t="s">
        <v>5</v>
      </c>
      <c r="F206" s="11" t="s">
        <v>6</v>
      </c>
      <c r="G206" s="11" t="s">
        <v>7</v>
      </c>
      <c r="H206" s="11" t="s">
        <v>8</v>
      </c>
      <c r="I206" s="12" t="s">
        <v>19</v>
      </c>
      <c r="J206" s="21" t="s">
        <v>20</v>
      </c>
      <c r="K206" s="32" t="s">
        <v>124</v>
      </c>
      <c r="L206" s="159" t="s">
        <v>125</v>
      </c>
      <c r="M206" s="33" t="s">
        <v>202</v>
      </c>
    </row>
    <row r="207" spans="2:13" ht="15.75" x14ac:dyDescent="0.2">
      <c r="B207" s="189"/>
      <c r="C207" s="192"/>
      <c r="D207" s="111">
        <v>1</v>
      </c>
      <c r="E207" s="14">
        <v>2.6412</v>
      </c>
      <c r="F207" s="14">
        <f t="shared" ref="F207" si="52">IF($D$2*D207&lt;=200,0.33,0.25)</f>
        <v>0.33</v>
      </c>
      <c r="G207" s="14">
        <f t="shared" ref="G207:G208" si="53">E207*F207</f>
        <v>0.87159600000000004</v>
      </c>
      <c r="H207" s="15">
        <f t="shared" ref="H207:H208" si="54">IF(($D$2*D207)&gt;40,750,IF(AND(8&lt;=($D$2*D207),($D$2*D207)&lt;=40),850,1000))</f>
        <v>750</v>
      </c>
      <c r="I207" s="15">
        <f t="shared" ref="I207:I208" si="55">(E207*F207*H207)</f>
        <v>653.697</v>
      </c>
      <c r="J207" s="22">
        <f>D207*I207</f>
        <v>653.697</v>
      </c>
      <c r="K207" s="113"/>
      <c r="L207" s="155"/>
      <c r="M207" s="176">
        <f>IFERROR((180/($D$2*D207)),0)</f>
        <v>2.6086956521739131</v>
      </c>
    </row>
    <row r="208" spans="2:13" ht="16.5" thickBot="1" x14ac:dyDescent="0.25">
      <c r="B208" s="190"/>
      <c r="C208" s="16"/>
      <c r="D208" s="114">
        <v>1</v>
      </c>
      <c r="E208" s="17">
        <v>11</v>
      </c>
      <c r="F208" s="152">
        <f t="shared" ref="F208" si="56">IF($D$2*D207&lt;=200,0.017,0.0085)</f>
        <v>1.7000000000000001E-2</v>
      </c>
      <c r="G208" s="18">
        <f t="shared" si="53"/>
        <v>0.187</v>
      </c>
      <c r="H208" s="115">
        <f t="shared" si="54"/>
        <v>750</v>
      </c>
      <c r="I208" s="115">
        <f t="shared" si="55"/>
        <v>140.25</v>
      </c>
      <c r="J208" s="23">
        <f>D208*I208</f>
        <v>140.25</v>
      </c>
      <c r="K208" s="116">
        <f t="shared" ref="K208" si="57">G207*D207+G208*D208</f>
        <v>1.0585960000000001</v>
      </c>
      <c r="L208" s="156">
        <f t="shared" ref="L208" si="58">J207+J208</f>
        <v>793.947</v>
      </c>
      <c r="M208" s="177"/>
    </row>
    <row r="209" spans="2:13" hidden="1" outlineLevel="1" x14ac:dyDescent="0.2">
      <c r="B209" s="20"/>
      <c r="C209" s="20" t="s">
        <v>319</v>
      </c>
      <c r="D209" s="112">
        <v>2</v>
      </c>
      <c r="E209" s="20"/>
      <c r="F209" s="20"/>
      <c r="G209" s="20"/>
      <c r="H209" s="20"/>
      <c r="I209" s="20"/>
      <c r="J209" s="24"/>
      <c r="K209" s="30"/>
      <c r="L209" s="157"/>
      <c r="M209" s="26"/>
    </row>
    <row r="210" spans="2:13" outlineLevel="1" x14ac:dyDescent="0.2">
      <c r="B210" s="20"/>
      <c r="C210" s="20" t="s">
        <v>320</v>
      </c>
      <c r="D210" s="112">
        <v>2</v>
      </c>
      <c r="E210" s="20"/>
      <c r="F210" s="20"/>
      <c r="G210" s="20"/>
      <c r="H210" s="20"/>
      <c r="I210" s="20"/>
      <c r="J210" s="24"/>
      <c r="K210" s="30"/>
      <c r="L210" s="157"/>
      <c r="M210" s="26"/>
    </row>
    <row r="211" spans="2:13" ht="15.75" outlineLevel="1" thickBot="1" x14ac:dyDescent="0.25">
      <c r="B211" s="20"/>
      <c r="C211" s="20" t="s">
        <v>321</v>
      </c>
      <c r="D211" s="112">
        <v>2</v>
      </c>
      <c r="E211" s="20"/>
      <c r="F211" s="20"/>
      <c r="G211" s="20"/>
      <c r="H211" s="20"/>
      <c r="I211" s="20"/>
      <c r="J211" s="24"/>
      <c r="K211" s="30"/>
      <c r="L211" s="157"/>
      <c r="M211" s="26"/>
    </row>
    <row r="212" spans="2:13" hidden="1" outlineLevel="1" x14ac:dyDescent="0.2">
      <c r="B212" s="19"/>
      <c r="C212" s="20" t="s">
        <v>322</v>
      </c>
      <c r="D212" s="112">
        <v>1</v>
      </c>
      <c r="E212" s="19"/>
      <c r="F212" s="19"/>
      <c r="G212" s="19"/>
      <c r="H212" s="19"/>
      <c r="I212" s="19"/>
      <c r="J212" s="25"/>
      <c r="K212" s="26"/>
      <c r="L212" s="103"/>
      <c r="M212" s="26"/>
    </row>
    <row r="213" spans="2:13" hidden="1" outlineLevel="1" x14ac:dyDescent="0.2">
      <c r="B213" s="19"/>
      <c r="C213" s="20" t="s">
        <v>323</v>
      </c>
      <c r="D213" s="112">
        <v>1</v>
      </c>
      <c r="E213" s="19"/>
      <c r="F213" s="19"/>
      <c r="G213" s="19"/>
      <c r="H213" s="19"/>
      <c r="I213" s="19"/>
      <c r="J213" s="25"/>
      <c r="K213" s="26"/>
      <c r="L213" s="103"/>
      <c r="M213" s="26"/>
    </row>
    <row r="214" spans="2:13" hidden="1" outlineLevel="1" x14ac:dyDescent="0.2">
      <c r="B214" s="19"/>
      <c r="C214" s="20" t="s">
        <v>324</v>
      </c>
      <c r="D214" s="112">
        <v>1</v>
      </c>
      <c r="E214" s="19"/>
      <c r="F214" s="19"/>
      <c r="G214" s="19"/>
      <c r="H214" s="19"/>
      <c r="I214" s="19"/>
      <c r="J214" s="25"/>
      <c r="K214" s="26"/>
      <c r="L214" s="103"/>
      <c r="M214" s="26"/>
    </row>
    <row r="215" spans="2:13" hidden="1" outlineLevel="1" x14ac:dyDescent="0.2">
      <c r="B215" s="19"/>
      <c r="C215" s="20" t="s">
        <v>325</v>
      </c>
      <c r="D215" s="112">
        <v>1</v>
      </c>
      <c r="E215" s="19"/>
      <c r="F215" s="19"/>
      <c r="G215" s="19"/>
      <c r="H215" s="19"/>
      <c r="I215" s="19"/>
      <c r="J215" s="25"/>
      <c r="K215" s="26"/>
      <c r="L215" s="103"/>
      <c r="M215" s="26"/>
    </row>
    <row r="216" spans="2:13" ht="15.75" hidden="1" outlineLevel="1" thickBot="1" x14ac:dyDescent="0.25">
      <c r="B216" s="27"/>
      <c r="C216" s="20" t="s">
        <v>326</v>
      </c>
      <c r="D216" s="112">
        <v>1</v>
      </c>
      <c r="E216" s="27"/>
      <c r="F216" s="27"/>
      <c r="G216" s="27"/>
      <c r="H216" s="27"/>
      <c r="I216" s="27"/>
      <c r="J216" s="28"/>
      <c r="K216" s="29"/>
      <c r="L216" s="158"/>
      <c r="M216" s="26"/>
    </row>
    <row r="217" spans="2:13" ht="78.75" customHeight="1" collapsed="1" x14ac:dyDescent="0.2">
      <c r="B217" s="188">
        <v>10</v>
      </c>
      <c r="C217" s="191"/>
      <c r="D217" s="11" t="s">
        <v>9</v>
      </c>
      <c r="E217" s="12" t="s">
        <v>5</v>
      </c>
      <c r="F217" s="11" t="s">
        <v>6</v>
      </c>
      <c r="G217" s="11" t="s">
        <v>7</v>
      </c>
      <c r="H217" s="11" t="s">
        <v>8</v>
      </c>
      <c r="I217" s="12" t="s">
        <v>19</v>
      </c>
      <c r="J217" s="21" t="s">
        <v>20</v>
      </c>
      <c r="K217" s="32" t="s">
        <v>124</v>
      </c>
      <c r="L217" s="159" t="s">
        <v>125</v>
      </c>
      <c r="M217" s="33" t="s">
        <v>202</v>
      </c>
    </row>
    <row r="218" spans="2:13" ht="15.75" x14ac:dyDescent="0.2">
      <c r="B218" s="189"/>
      <c r="C218" s="192"/>
      <c r="D218" s="111">
        <v>1</v>
      </c>
      <c r="E218" s="14">
        <v>0</v>
      </c>
      <c r="F218" s="14">
        <f t="shared" ref="F218" si="59">IF($D$2*D218&lt;=200,0.33,0.25)</f>
        <v>0.33</v>
      </c>
      <c r="G218" s="14">
        <f t="shared" ref="G218:G219" si="60">E218*F218</f>
        <v>0</v>
      </c>
      <c r="H218" s="15">
        <f t="shared" ref="H218:H219" si="61">IF(($D$2*D218)&gt;40,750,IF(AND(8&lt;=($D$2*D218),($D$2*D218)&lt;=40),850,1000))</f>
        <v>750</v>
      </c>
      <c r="I218" s="15">
        <f t="shared" ref="I218:I219" si="62">(E218*F218*H218)</f>
        <v>0</v>
      </c>
      <c r="J218" s="22">
        <f>D218*I218</f>
        <v>0</v>
      </c>
      <c r="K218" s="113"/>
      <c r="L218" s="155"/>
      <c r="M218" s="176">
        <f>IFERROR((180/($D$2*D218)),0)</f>
        <v>2.6086956521739131</v>
      </c>
    </row>
    <row r="219" spans="2:13" ht="16.5" thickBot="1" x14ac:dyDescent="0.25">
      <c r="B219" s="190"/>
      <c r="C219" s="16"/>
      <c r="D219" s="114">
        <v>1</v>
      </c>
      <c r="E219" s="17">
        <v>2</v>
      </c>
      <c r="F219" s="152">
        <f t="shared" ref="F219" si="63">IF($D$2*D218&lt;=200,0.017,0.0085)</f>
        <v>1.7000000000000001E-2</v>
      </c>
      <c r="G219" s="18">
        <f t="shared" si="60"/>
        <v>3.4000000000000002E-2</v>
      </c>
      <c r="H219" s="115">
        <f t="shared" si="61"/>
        <v>750</v>
      </c>
      <c r="I219" s="115">
        <f t="shared" si="62"/>
        <v>25.500000000000004</v>
      </c>
      <c r="J219" s="23">
        <f>D219*I219</f>
        <v>25.500000000000004</v>
      </c>
      <c r="K219" s="116">
        <f t="shared" ref="K219" si="64">G218*D218+G219*D219</f>
        <v>3.4000000000000002E-2</v>
      </c>
      <c r="L219" s="156">
        <f t="shared" ref="L219" si="65">J218+J219</f>
        <v>25.500000000000004</v>
      </c>
      <c r="M219" s="177"/>
    </row>
    <row r="220" spans="2:13" hidden="1" outlineLevel="1" x14ac:dyDescent="0.2">
      <c r="B220" s="20"/>
      <c r="C220" s="20" t="s">
        <v>327</v>
      </c>
      <c r="D220" s="112">
        <v>1</v>
      </c>
      <c r="E220" s="20"/>
      <c r="F220" s="20"/>
      <c r="G220" s="20"/>
      <c r="H220" s="20"/>
      <c r="I220" s="20"/>
      <c r="J220" s="24"/>
      <c r="K220" s="30"/>
      <c r="L220" s="157"/>
      <c r="M220" s="26"/>
    </row>
    <row r="221" spans="2:13" hidden="1" outlineLevel="1" x14ac:dyDescent="0.2">
      <c r="B221" s="19"/>
      <c r="C221" s="20" t="s">
        <v>328</v>
      </c>
      <c r="D221" s="112">
        <v>1</v>
      </c>
      <c r="E221" s="19"/>
      <c r="F221" s="19"/>
      <c r="G221" s="19"/>
      <c r="H221" s="19"/>
      <c r="I221" s="19"/>
      <c r="J221" s="25"/>
      <c r="K221" s="26"/>
      <c r="L221" s="103"/>
      <c r="M221" s="26"/>
    </row>
    <row r="222" spans="2:13" hidden="1" outlineLevel="1" x14ac:dyDescent="0.2">
      <c r="B222" s="19"/>
      <c r="C222" s="20"/>
      <c r="D222" s="112"/>
      <c r="E222" s="19"/>
      <c r="F222" s="19"/>
      <c r="G222" s="19"/>
      <c r="H222" s="19"/>
      <c r="I222" s="19"/>
      <c r="J222" s="25"/>
      <c r="K222" s="26"/>
      <c r="L222" s="103"/>
      <c r="M222" s="26"/>
    </row>
    <row r="223" spans="2:13" hidden="1" outlineLevel="1" x14ac:dyDescent="0.2">
      <c r="B223" s="19"/>
      <c r="C223" s="20"/>
      <c r="D223" s="112"/>
      <c r="E223" s="19"/>
      <c r="F223" s="19"/>
      <c r="G223" s="19"/>
      <c r="H223" s="19"/>
      <c r="I223" s="19"/>
      <c r="J223" s="25"/>
      <c r="K223" s="26"/>
      <c r="L223" s="103"/>
      <c r="M223" s="26"/>
    </row>
    <row r="224" spans="2:13" hidden="1" outlineLevel="1" x14ac:dyDescent="0.2">
      <c r="B224" s="19"/>
      <c r="C224" s="20"/>
      <c r="D224" s="112"/>
      <c r="E224" s="19"/>
      <c r="F224" s="19"/>
      <c r="G224" s="19"/>
      <c r="H224" s="19"/>
      <c r="I224" s="19"/>
      <c r="J224" s="25"/>
      <c r="K224" s="26"/>
      <c r="L224" s="103"/>
      <c r="M224" s="26"/>
    </row>
    <row r="225" spans="2:13" ht="15.75" hidden="1" outlineLevel="1" thickBot="1" x14ac:dyDescent="0.25">
      <c r="B225" s="27"/>
      <c r="C225" s="20"/>
      <c r="D225" s="112"/>
      <c r="E225" s="27"/>
      <c r="F225" s="27"/>
      <c r="G225" s="27"/>
      <c r="H225" s="27"/>
      <c r="I225" s="27"/>
      <c r="J225" s="28"/>
      <c r="K225" s="29"/>
      <c r="L225" s="158"/>
      <c r="M225" s="26"/>
    </row>
    <row r="226" spans="2:13" ht="63" customHeight="1" collapsed="1" x14ac:dyDescent="0.2">
      <c r="B226" s="188">
        <v>11</v>
      </c>
      <c r="C226" s="191"/>
      <c r="D226" s="11" t="s">
        <v>9</v>
      </c>
      <c r="E226" s="12" t="s">
        <v>5</v>
      </c>
      <c r="F226" s="11" t="s">
        <v>6</v>
      </c>
      <c r="G226" s="11" t="s">
        <v>7</v>
      </c>
      <c r="H226" s="11" t="s">
        <v>8</v>
      </c>
      <c r="I226" s="12" t="s">
        <v>19</v>
      </c>
      <c r="J226" s="21" t="s">
        <v>20</v>
      </c>
      <c r="K226" s="32" t="s">
        <v>124</v>
      </c>
      <c r="L226" s="159" t="s">
        <v>125</v>
      </c>
      <c r="M226" s="33" t="s">
        <v>202</v>
      </c>
    </row>
    <row r="227" spans="2:13" ht="15.75" x14ac:dyDescent="0.2">
      <c r="B227" s="189"/>
      <c r="C227" s="192"/>
      <c r="D227" s="111">
        <v>1</v>
      </c>
      <c r="E227" s="14">
        <v>0</v>
      </c>
      <c r="F227" s="14">
        <f t="shared" ref="F227" si="66">IF($D$2*D227&lt;=200,0.33,0.25)</f>
        <v>0.33</v>
      </c>
      <c r="G227" s="14">
        <f t="shared" ref="G227:G228" si="67">E227*F227</f>
        <v>0</v>
      </c>
      <c r="H227" s="15">
        <f t="shared" ref="H227:H228" si="68">IF(($D$2*D227)&gt;40,750,IF(AND(8&lt;=($D$2*D227),($D$2*D227)&lt;=40),850,1000))</f>
        <v>750</v>
      </c>
      <c r="I227" s="15">
        <f t="shared" ref="I227:I228" si="69">(E227*F227*H227)</f>
        <v>0</v>
      </c>
      <c r="J227" s="22">
        <f>D227*I227</f>
        <v>0</v>
      </c>
      <c r="K227" s="113"/>
      <c r="L227" s="155"/>
      <c r="M227" s="176">
        <f>IFERROR((180/($D$2*D227)),0)</f>
        <v>2.6086956521739131</v>
      </c>
    </row>
    <row r="228" spans="2:13" ht="16.5" thickBot="1" x14ac:dyDescent="0.25">
      <c r="B228" s="190"/>
      <c r="C228" s="16"/>
      <c r="D228" s="114">
        <v>1</v>
      </c>
      <c r="E228" s="17">
        <v>30</v>
      </c>
      <c r="F228" s="152">
        <f t="shared" ref="F228" si="70">IF($D$2*D227&lt;=200,0.017,0.0085)</f>
        <v>1.7000000000000001E-2</v>
      </c>
      <c r="G228" s="18">
        <f t="shared" si="67"/>
        <v>0.51</v>
      </c>
      <c r="H228" s="115">
        <f t="shared" si="68"/>
        <v>750</v>
      </c>
      <c r="I228" s="115">
        <f t="shared" si="69"/>
        <v>382.5</v>
      </c>
      <c r="J228" s="23">
        <f>D228*I228</f>
        <v>382.5</v>
      </c>
      <c r="K228" s="116">
        <f t="shared" ref="K228" si="71">G227*D227+G228*D228</f>
        <v>0.51</v>
      </c>
      <c r="L228" s="156">
        <f t="shared" ref="L228" si="72">J227+J228</f>
        <v>382.5</v>
      </c>
      <c r="M228" s="177"/>
    </row>
    <row r="229" spans="2:13" hidden="1" outlineLevel="1" x14ac:dyDescent="0.2">
      <c r="B229" s="20"/>
      <c r="C229" s="20" t="s">
        <v>329</v>
      </c>
      <c r="D229" s="112">
        <v>24</v>
      </c>
      <c r="E229" s="20"/>
      <c r="F229" s="20"/>
      <c r="G229" s="20"/>
      <c r="H229" s="20"/>
      <c r="I229" s="20"/>
      <c r="J229" s="24"/>
      <c r="K229" s="30"/>
      <c r="L229" s="157"/>
      <c r="M229" s="26"/>
    </row>
    <row r="230" spans="2:13" hidden="1" outlineLevel="1" x14ac:dyDescent="0.2">
      <c r="B230" s="19"/>
      <c r="C230" s="20" t="s">
        <v>330</v>
      </c>
      <c r="D230" s="112">
        <v>2</v>
      </c>
      <c r="E230" s="19"/>
      <c r="F230" s="19"/>
      <c r="G230" s="19"/>
      <c r="H230" s="19"/>
      <c r="I230" s="19"/>
      <c r="J230" s="25"/>
      <c r="K230" s="26"/>
      <c r="L230" s="103"/>
      <c r="M230" s="26"/>
    </row>
    <row r="231" spans="2:13" hidden="1" outlineLevel="1" x14ac:dyDescent="0.2">
      <c r="B231" s="19"/>
      <c r="C231" s="20" t="s">
        <v>331</v>
      </c>
      <c r="D231" s="112">
        <v>1</v>
      </c>
      <c r="E231" s="19"/>
      <c r="F231" s="19"/>
      <c r="G231" s="19"/>
      <c r="H231" s="19"/>
      <c r="I231" s="19"/>
      <c r="J231" s="25"/>
      <c r="K231" s="26"/>
      <c r="L231" s="103"/>
      <c r="M231" s="26"/>
    </row>
    <row r="232" spans="2:13" hidden="1" outlineLevel="1" x14ac:dyDescent="0.2">
      <c r="B232" s="19"/>
      <c r="C232" s="20" t="s">
        <v>332</v>
      </c>
      <c r="D232" s="112">
        <v>1</v>
      </c>
      <c r="E232" s="19"/>
      <c r="F232" s="19"/>
      <c r="G232" s="19"/>
      <c r="H232" s="19"/>
      <c r="I232" s="19"/>
      <c r="J232" s="25"/>
      <c r="K232" s="26"/>
      <c r="L232" s="103"/>
      <c r="M232" s="26"/>
    </row>
    <row r="233" spans="2:13" hidden="1" outlineLevel="1" x14ac:dyDescent="0.2">
      <c r="B233" s="19"/>
      <c r="C233" s="20" t="s">
        <v>333</v>
      </c>
      <c r="D233" s="112">
        <v>1</v>
      </c>
      <c r="E233" s="19"/>
      <c r="F233" s="19"/>
      <c r="G233" s="19"/>
      <c r="H233" s="19"/>
      <c r="I233" s="19"/>
      <c r="J233" s="25"/>
      <c r="K233" s="26"/>
      <c r="L233" s="103"/>
      <c r="M233" s="26"/>
    </row>
    <row r="234" spans="2:13" ht="15.75" hidden="1" outlineLevel="1" thickBot="1" x14ac:dyDescent="0.25">
      <c r="B234" s="27"/>
      <c r="C234" s="20" t="s">
        <v>334</v>
      </c>
      <c r="D234" s="112">
        <v>1</v>
      </c>
      <c r="E234" s="27"/>
      <c r="F234" s="27"/>
      <c r="G234" s="27"/>
      <c r="H234" s="27"/>
      <c r="I234" s="27"/>
      <c r="J234" s="28"/>
      <c r="K234" s="29"/>
      <c r="L234" s="158"/>
      <c r="M234" s="26"/>
    </row>
    <row r="235" spans="2:13" ht="83.25" customHeight="1" collapsed="1" x14ac:dyDescent="0.2">
      <c r="B235" s="188">
        <v>12</v>
      </c>
      <c r="C235" s="191"/>
      <c r="D235" s="11" t="s">
        <v>9</v>
      </c>
      <c r="E235" s="12" t="s">
        <v>5</v>
      </c>
      <c r="F235" s="11" t="s">
        <v>6</v>
      </c>
      <c r="G235" s="11" t="s">
        <v>7</v>
      </c>
      <c r="H235" s="11" t="s">
        <v>8</v>
      </c>
      <c r="I235" s="12" t="s">
        <v>19</v>
      </c>
      <c r="J235" s="21" t="s">
        <v>20</v>
      </c>
      <c r="K235" s="32" t="s">
        <v>124</v>
      </c>
      <c r="L235" s="159" t="s">
        <v>125</v>
      </c>
      <c r="M235" s="33" t="s">
        <v>202</v>
      </c>
    </row>
    <row r="236" spans="2:13" ht="15.75" x14ac:dyDescent="0.2">
      <c r="B236" s="189"/>
      <c r="C236" s="192"/>
      <c r="D236" s="111">
        <v>48</v>
      </c>
      <c r="E236" s="14">
        <v>3.092E-2</v>
      </c>
      <c r="F236" s="14">
        <f t="shared" ref="F236" si="73">IF($D$2*D236&lt;=200,0.33,0.25)</f>
        <v>0.25</v>
      </c>
      <c r="G236" s="14">
        <f t="shared" ref="G236:G237" si="74">E236*F236</f>
        <v>7.7299999999999999E-3</v>
      </c>
      <c r="H236" s="15">
        <f t="shared" ref="H236:H237" si="75">IF(($D$2*D236)&gt;40,750,IF(AND(8&lt;=($D$2*D236),($D$2*D236)&lt;=40),850,1000))</f>
        <v>750</v>
      </c>
      <c r="I236" s="15">
        <f t="shared" ref="I236:I237" si="76">(E236*F236*H236)</f>
        <v>5.7975000000000003</v>
      </c>
      <c r="J236" s="22">
        <f>D236*I236</f>
        <v>278.28000000000003</v>
      </c>
      <c r="K236" s="113"/>
      <c r="L236" s="155"/>
      <c r="M236" s="176">
        <f>IFERROR((180/($D$2*D236)),0)</f>
        <v>5.434782608695652E-2</v>
      </c>
    </row>
    <row r="237" spans="2:13" ht="16.5" thickBot="1" x14ac:dyDescent="0.25">
      <c r="B237" s="190"/>
      <c r="C237" s="16"/>
      <c r="D237" s="114">
        <v>48</v>
      </c>
      <c r="E237" s="17">
        <v>2</v>
      </c>
      <c r="F237" s="152">
        <f t="shared" ref="F237" si="77">IF($D$2*D236&lt;=200,0.017,0.0085)</f>
        <v>8.5000000000000006E-3</v>
      </c>
      <c r="G237" s="18">
        <f t="shared" si="74"/>
        <v>1.7000000000000001E-2</v>
      </c>
      <c r="H237" s="115">
        <f t="shared" si="75"/>
        <v>750</v>
      </c>
      <c r="I237" s="115">
        <f t="shared" si="76"/>
        <v>12.750000000000002</v>
      </c>
      <c r="J237" s="23">
        <f>D237*I237</f>
        <v>612.00000000000011</v>
      </c>
      <c r="K237" s="116">
        <f t="shared" ref="K237" si="78">G236*D236+G237*D237</f>
        <v>1.1870400000000001</v>
      </c>
      <c r="L237" s="156">
        <f t="shared" ref="L237" si="79">J236+J237</f>
        <v>890.2800000000002</v>
      </c>
      <c r="M237" s="177"/>
    </row>
    <row r="238" spans="2:13" hidden="1" outlineLevel="1" x14ac:dyDescent="0.2">
      <c r="B238" s="20"/>
      <c r="C238" s="20" t="s">
        <v>335</v>
      </c>
      <c r="D238" s="112">
        <v>1</v>
      </c>
      <c r="E238" s="20"/>
      <c r="F238" s="20"/>
      <c r="G238" s="20"/>
      <c r="H238" s="20"/>
      <c r="I238" s="20"/>
      <c r="J238" s="24"/>
      <c r="K238" s="30"/>
      <c r="L238" s="157"/>
      <c r="M238" s="26"/>
    </row>
    <row r="239" spans="2:13" hidden="1" outlineLevel="1" x14ac:dyDescent="0.2">
      <c r="B239" s="19"/>
      <c r="C239" s="20" t="s">
        <v>336</v>
      </c>
      <c r="D239" s="112">
        <v>1</v>
      </c>
      <c r="E239" s="19"/>
      <c r="F239" s="19"/>
      <c r="G239" s="19"/>
      <c r="H239" s="19"/>
      <c r="I239" s="19"/>
      <c r="J239" s="25"/>
      <c r="K239" s="26"/>
      <c r="L239" s="103"/>
      <c r="M239" s="26"/>
    </row>
    <row r="240" spans="2:13" hidden="1" outlineLevel="1" x14ac:dyDescent="0.2">
      <c r="B240" s="19"/>
      <c r="C240" s="20"/>
      <c r="D240" s="112"/>
      <c r="E240" s="19"/>
      <c r="F240" s="19"/>
      <c r="G240" s="19"/>
      <c r="H240" s="19"/>
      <c r="I240" s="19"/>
      <c r="J240" s="25"/>
      <c r="K240" s="26"/>
      <c r="L240" s="103"/>
      <c r="M240" s="26"/>
    </row>
    <row r="241" spans="2:13" hidden="1" outlineLevel="1" x14ac:dyDescent="0.2">
      <c r="B241" s="19"/>
      <c r="C241" s="20"/>
      <c r="D241" s="112"/>
      <c r="E241" s="19"/>
      <c r="F241" s="19"/>
      <c r="G241" s="19"/>
      <c r="H241" s="19"/>
      <c r="I241" s="19"/>
      <c r="J241" s="25"/>
      <c r="K241" s="26"/>
      <c r="L241" s="103"/>
      <c r="M241" s="26"/>
    </row>
    <row r="242" spans="2:13" hidden="1" outlineLevel="1" x14ac:dyDescent="0.2">
      <c r="B242" s="19"/>
      <c r="C242" s="20"/>
      <c r="D242" s="112"/>
      <c r="E242" s="19"/>
      <c r="F242" s="19"/>
      <c r="G242" s="19"/>
      <c r="H242" s="19"/>
      <c r="I242" s="19"/>
      <c r="J242" s="25"/>
      <c r="K242" s="26"/>
      <c r="L242" s="103"/>
      <c r="M242" s="26"/>
    </row>
    <row r="243" spans="2:13" ht="15.75" hidden="1" outlineLevel="1" thickBot="1" x14ac:dyDescent="0.25">
      <c r="B243" s="27"/>
      <c r="C243" s="20"/>
      <c r="D243" s="112"/>
      <c r="E243" s="27"/>
      <c r="F243" s="27"/>
      <c r="G243" s="27"/>
      <c r="H243" s="27"/>
      <c r="I243" s="27"/>
      <c r="J243" s="28"/>
      <c r="K243" s="29"/>
      <c r="L243" s="158"/>
      <c r="M243" s="26"/>
    </row>
    <row r="244" spans="2:13" ht="67.5" customHeight="1" collapsed="1" x14ac:dyDescent="0.2">
      <c r="B244" s="188">
        <v>13</v>
      </c>
      <c r="C244" s="191"/>
      <c r="D244" s="11" t="s">
        <v>9</v>
      </c>
      <c r="E244" s="12" t="s">
        <v>5</v>
      </c>
      <c r="F244" s="11" t="s">
        <v>6</v>
      </c>
      <c r="G244" s="11" t="s">
        <v>7</v>
      </c>
      <c r="H244" s="11" t="s">
        <v>8</v>
      </c>
      <c r="I244" s="12" t="s">
        <v>19</v>
      </c>
      <c r="J244" s="21" t="s">
        <v>20</v>
      </c>
      <c r="K244" s="32" t="s">
        <v>124</v>
      </c>
      <c r="L244" s="159" t="s">
        <v>125</v>
      </c>
      <c r="M244" s="33" t="s">
        <v>202</v>
      </c>
    </row>
    <row r="245" spans="2:13" ht="15.75" x14ac:dyDescent="0.2">
      <c r="B245" s="189"/>
      <c r="C245" s="192"/>
      <c r="D245" s="111">
        <v>2</v>
      </c>
      <c r="E245" s="14">
        <v>0.79920999999999998</v>
      </c>
      <c r="F245" s="14">
        <f t="shared" ref="F245" si="80">IF($D$2*D245&lt;=200,0.33,0.25)</f>
        <v>0.33</v>
      </c>
      <c r="G245" s="14">
        <f t="shared" ref="G245:G246" si="81">E245*F245</f>
        <v>0.26373930000000001</v>
      </c>
      <c r="H245" s="15">
        <f t="shared" ref="H245:H246" si="82">IF(($D$2*D245)&gt;40,750,IF(AND(8&lt;=($D$2*D245),($D$2*D245)&lt;=40),850,1000))</f>
        <v>750</v>
      </c>
      <c r="I245" s="15">
        <f t="shared" ref="I245:I246" si="83">(E245*F245*H245)</f>
        <v>197.804475</v>
      </c>
      <c r="J245" s="22">
        <f>D245*I245</f>
        <v>395.60894999999999</v>
      </c>
      <c r="K245" s="113"/>
      <c r="L245" s="155"/>
      <c r="M245" s="176">
        <f>IFERROR((180/($D$2*D245)),0)</f>
        <v>1.3043478260869565</v>
      </c>
    </row>
    <row r="246" spans="2:13" ht="16.5" thickBot="1" x14ac:dyDescent="0.25">
      <c r="B246" s="190"/>
      <c r="C246" s="16"/>
      <c r="D246" s="114">
        <v>2</v>
      </c>
      <c r="E246" s="17">
        <v>9</v>
      </c>
      <c r="F246" s="152">
        <f t="shared" ref="F246" si="84">IF($D$2*D245&lt;=200,0.017,0.0085)</f>
        <v>1.7000000000000001E-2</v>
      </c>
      <c r="G246" s="18">
        <f t="shared" si="81"/>
        <v>0.15300000000000002</v>
      </c>
      <c r="H246" s="115">
        <f t="shared" si="82"/>
        <v>750</v>
      </c>
      <c r="I246" s="115">
        <f t="shared" si="83"/>
        <v>114.75000000000001</v>
      </c>
      <c r="J246" s="23">
        <f>D246*I246</f>
        <v>229.50000000000003</v>
      </c>
      <c r="K246" s="116">
        <f t="shared" ref="K246" si="85">G245*D245+G246*D246</f>
        <v>0.83347860000000007</v>
      </c>
      <c r="L246" s="156">
        <f t="shared" ref="L246" si="86">J245+J246</f>
        <v>625.10895000000005</v>
      </c>
      <c r="M246" s="177"/>
    </row>
    <row r="247" spans="2:13" hidden="1" outlineLevel="1" x14ac:dyDescent="0.2">
      <c r="B247" s="20"/>
      <c r="C247" s="20" t="s">
        <v>337</v>
      </c>
      <c r="D247" s="112">
        <v>1</v>
      </c>
      <c r="E247" s="20"/>
      <c r="F247" s="20"/>
      <c r="G247" s="20"/>
      <c r="H247" s="20"/>
      <c r="I247" s="20"/>
      <c r="J247" s="24"/>
      <c r="K247" s="30"/>
      <c r="L247" s="157"/>
      <c r="M247" s="26"/>
    </row>
    <row r="248" spans="2:13" ht="15.75" outlineLevel="1" thickBot="1" x14ac:dyDescent="0.25">
      <c r="B248" s="20"/>
      <c r="C248" s="20" t="s">
        <v>338</v>
      </c>
      <c r="D248" s="112">
        <v>1</v>
      </c>
      <c r="E248" s="20"/>
      <c r="F248" s="20"/>
      <c r="G248" s="20"/>
      <c r="H248" s="20"/>
      <c r="I248" s="20"/>
      <c r="J248" s="24"/>
      <c r="K248" s="30"/>
      <c r="L248" s="157"/>
      <c r="M248" s="26"/>
    </row>
    <row r="249" spans="2:13" hidden="1" outlineLevel="1" x14ac:dyDescent="0.2">
      <c r="B249" s="19"/>
      <c r="C249" s="20" t="s">
        <v>339</v>
      </c>
      <c r="D249" s="112">
        <v>1</v>
      </c>
      <c r="E249" s="19"/>
      <c r="F249" s="19"/>
      <c r="G249" s="19"/>
      <c r="H249" s="19"/>
      <c r="I249" s="19"/>
      <c r="J249" s="25"/>
      <c r="K249" s="26"/>
      <c r="L249" s="103"/>
      <c r="M249" s="26"/>
    </row>
    <row r="250" spans="2:13" hidden="1" outlineLevel="1" x14ac:dyDescent="0.2">
      <c r="B250" s="19"/>
      <c r="C250" s="20" t="s">
        <v>340</v>
      </c>
      <c r="D250" s="112">
        <v>1</v>
      </c>
      <c r="E250" s="19"/>
      <c r="F250" s="19"/>
      <c r="G250" s="19"/>
      <c r="H250" s="19"/>
      <c r="I250" s="19"/>
      <c r="J250" s="25"/>
      <c r="K250" s="26"/>
      <c r="L250" s="103"/>
      <c r="M250" s="26"/>
    </row>
    <row r="251" spans="2:13" hidden="1" outlineLevel="1" x14ac:dyDescent="0.2">
      <c r="B251" s="19"/>
      <c r="C251" s="20" t="s">
        <v>341</v>
      </c>
      <c r="D251" s="112">
        <v>1</v>
      </c>
      <c r="E251" s="19"/>
      <c r="F251" s="19"/>
      <c r="G251" s="19"/>
      <c r="H251" s="19"/>
      <c r="I251" s="19"/>
      <c r="J251" s="25"/>
      <c r="K251" s="26"/>
      <c r="L251" s="103"/>
      <c r="M251" s="26"/>
    </row>
    <row r="252" spans="2:13" hidden="1" outlineLevel="1" x14ac:dyDescent="0.2">
      <c r="B252" s="19"/>
      <c r="C252" s="20" t="s">
        <v>342</v>
      </c>
      <c r="D252" s="112">
        <v>2</v>
      </c>
      <c r="E252" s="19"/>
      <c r="F252" s="19"/>
      <c r="G252" s="19"/>
      <c r="H252" s="19"/>
      <c r="I252" s="19"/>
      <c r="J252" s="25"/>
      <c r="K252" s="26"/>
      <c r="L252" s="103"/>
      <c r="M252" s="26"/>
    </row>
    <row r="253" spans="2:13" ht="15.75" hidden="1" outlineLevel="1" thickBot="1" x14ac:dyDescent="0.25">
      <c r="B253" s="27"/>
      <c r="C253" s="20" t="s">
        <v>343</v>
      </c>
      <c r="D253" s="112">
        <v>2</v>
      </c>
      <c r="E253" s="27"/>
      <c r="F253" s="27"/>
      <c r="G253" s="27"/>
      <c r="H253" s="27"/>
      <c r="I253" s="27"/>
      <c r="J253" s="28"/>
      <c r="K253" s="29"/>
      <c r="L253" s="158"/>
      <c r="M253" s="26"/>
    </row>
    <row r="254" spans="2:13" ht="68.25" customHeight="1" collapsed="1" x14ac:dyDescent="0.2">
      <c r="B254" s="188">
        <v>14</v>
      </c>
      <c r="C254" s="191"/>
      <c r="D254" s="11" t="s">
        <v>9</v>
      </c>
      <c r="E254" s="12" t="s">
        <v>5</v>
      </c>
      <c r="F254" s="11" t="s">
        <v>6</v>
      </c>
      <c r="G254" s="11" t="s">
        <v>7</v>
      </c>
      <c r="H254" s="11" t="s">
        <v>8</v>
      </c>
      <c r="I254" s="12" t="s">
        <v>19</v>
      </c>
      <c r="J254" s="21" t="s">
        <v>20</v>
      </c>
      <c r="K254" s="32" t="s">
        <v>124</v>
      </c>
      <c r="L254" s="159" t="s">
        <v>125</v>
      </c>
      <c r="M254" s="33" t="s">
        <v>202</v>
      </c>
    </row>
    <row r="255" spans="2:13" ht="15.75" x14ac:dyDescent="0.2">
      <c r="B255" s="189"/>
      <c r="C255" s="192"/>
      <c r="D255" s="111">
        <v>2</v>
      </c>
      <c r="E255" s="14">
        <f>E236</f>
        <v>3.092E-2</v>
      </c>
      <c r="F255" s="14">
        <f t="shared" ref="F255" si="87">IF($D$2*D255&lt;=200,0.33,0.25)</f>
        <v>0.33</v>
      </c>
      <c r="G255" s="14">
        <f t="shared" ref="G255:G256" si="88">E255*F255</f>
        <v>1.02036E-2</v>
      </c>
      <c r="H255" s="15">
        <f t="shared" ref="H255:H256" si="89">IF(($D$2*D255)&gt;40,750,IF(AND(8&lt;=($D$2*D255),($D$2*D255)&lt;=40),850,1000))</f>
        <v>750</v>
      </c>
      <c r="I255" s="15">
        <f t="shared" ref="I255:I256" si="90">(E255*F255*H255)</f>
        <v>7.6527000000000003</v>
      </c>
      <c r="J255" s="22">
        <f>D255*I255</f>
        <v>15.305400000000001</v>
      </c>
      <c r="K255" s="113"/>
      <c r="L255" s="155"/>
      <c r="M255" s="176">
        <f>IFERROR((180/($D$2*D255)),0)</f>
        <v>1.3043478260869565</v>
      </c>
    </row>
    <row r="256" spans="2:13" ht="16.5" thickBot="1" x14ac:dyDescent="0.25">
      <c r="B256" s="190"/>
      <c r="C256" s="16"/>
      <c r="D256" s="114">
        <v>2</v>
      </c>
      <c r="E256" s="17">
        <v>2</v>
      </c>
      <c r="F256" s="152">
        <f t="shared" ref="F256" si="91">IF($D$2*D255&lt;=200,0.017,0.0085)</f>
        <v>1.7000000000000001E-2</v>
      </c>
      <c r="G256" s="18">
        <f t="shared" si="88"/>
        <v>3.4000000000000002E-2</v>
      </c>
      <c r="H256" s="115">
        <f t="shared" si="89"/>
        <v>750</v>
      </c>
      <c r="I256" s="115">
        <f t="shared" si="90"/>
        <v>25.500000000000004</v>
      </c>
      <c r="J256" s="23">
        <f>D256*I256</f>
        <v>51.000000000000007</v>
      </c>
      <c r="K256" s="116">
        <f t="shared" ref="K256" si="92">G255*D255+G256*D256</f>
        <v>8.8407200000000005E-2</v>
      </c>
      <c r="L256" s="156">
        <f t="shared" ref="L256" si="93">J255+J256</f>
        <v>66.305400000000006</v>
      </c>
      <c r="M256" s="177"/>
    </row>
    <row r="257" spans="2:13" hidden="1" outlineLevel="1" x14ac:dyDescent="0.2">
      <c r="B257" s="20"/>
      <c r="C257" s="20" t="s">
        <v>336</v>
      </c>
      <c r="D257" s="112">
        <v>1</v>
      </c>
      <c r="E257" s="20"/>
      <c r="F257" s="20"/>
      <c r="G257" s="20"/>
      <c r="H257" s="20"/>
      <c r="I257" s="20"/>
      <c r="J257" s="24"/>
      <c r="K257" s="30"/>
      <c r="L257" s="157"/>
      <c r="M257" s="26"/>
    </row>
    <row r="258" spans="2:13" hidden="1" outlineLevel="1" x14ac:dyDescent="0.2">
      <c r="B258" s="19"/>
      <c r="C258" s="20" t="s">
        <v>335</v>
      </c>
      <c r="D258" s="112">
        <v>1</v>
      </c>
      <c r="E258" s="19"/>
      <c r="F258" s="19"/>
      <c r="G258" s="19"/>
      <c r="H258" s="19"/>
      <c r="I258" s="19"/>
      <c r="J258" s="25"/>
      <c r="K258" s="26"/>
      <c r="L258" s="103"/>
      <c r="M258" s="26"/>
    </row>
    <row r="259" spans="2:13" hidden="1" outlineLevel="1" x14ac:dyDescent="0.2">
      <c r="B259" s="19"/>
      <c r="C259" s="20"/>
      <c r="D259" s="112"/>
      <c r="E259" s="19"/>
      <c r="F259" s="19"/>
      <c r="G259" s="19"/>
      <c r="H259" s="19"/>
      <c r="I259" s="19"/>
      <c r="J259" s="25"/>
      <c r="K259" s="26"/>
      <c r="L259" s="103"/>
      <c r="M259" s="26"/>
    </row>
    <row r="260" spans="2:13" hidden="1" outlineLevel="1" x14ac:dyDescent="0.2">
      <c r="B260" s="19"/>
      <c r="C260" s="20"/>
      <c r="D260" s="112"/>
      <c r="E260" s="19"/>
      <c r="F260" s="19"/>
      <c r="G260" s="19"/>
      <c r="H260" s="19"/>
      <c r="I260" s="19"/>
      <c r="J260" s="25"/>
      <c r="K260" s="26"/>
      <c r="L260" s="103"/>
      <c r="M260" s="26"/>
    </row>
    <row r="261" spans="2:13" hidden="1" outlineLevel="1" x14ac:dyDescent="0.2">
      <c r="B261" s="19"/>
      <c r="C261" s="20"/>
      <c r="D261" s="112"/>
      <c r="E261" s="19"/>
      <c r="F261" s="19"/>
      <c r="G261" s="19"/>
      <c r="H261" s="19"/>
      <c r="I261" s="19"/>
      <c r="J261" s="25"/>
      <c r="K261" s="26"/>
      <c r="L261" s="103"/>
      <c r="M261" s="26"/>
    </row>
    <row r="262" spans="2:13" ht="15.75" hidden="1" outlineLevel="1" thickBot="1" x14ac:dyDescent="0.25">
      <c r="B262" s="27"/>
      <c r="C262" s="20"/>
      <c r="D262" s="112"/>
      <c r="E262" s="27"/>
      <c r="F262" s="27"/>
      <c r="G262" s="27"/>
      <c r="H262" s="27"/>
      <c r="I262" s="27"/>
      <c r="J262" s="28"/>
      <c r="K262" s="29"/>
      <c r="L262" s="158"/>
      <c r="M262" s="26"/>
    </row>
    <row r="263" spans="2:13" ht="75" customHeight="1" collapsed="1" x14ac:dyDescent="0.2">
      <c r="B263" s="188">
        <v>15</v>
      </c>
      <c r="C263" s="191"/>
      <c r="D263" s="11" t="s">
        <v>9</v>
      </c>
      <c r="E263" s="12" t="s">
        <v>5</v>
      </c>
      <c r="F263" s="11" t="s">
        <v>6</v>
      </c>
      <c r="G263" s="11" t="s">
        <v>7</v>
      </c>
      <c r="H263" s="11" t="s">
        <v>8</v>
      </c>
      <c r="I263" s="12" t="s">
        <v>19</v>
      </c>
      <c r="J263" s="21" t="s">
        <v>20</v>
      </c>
      <c r="K263" s="32" t="s">
        <v>124</v>
      </c>
      <c r="L263" s="159" t="s">
        <v>125</v>
      </c>
      <c r="M263" s="33" t="s">
        <v>202</v>
      </c>
    </row>
    <row r="264" spans="2:13" ht="15.75" x14ac:dyDescent="0.2">
      <c r="B264" s="189"/>
      <c r="C264" s="192"/>
      <c r="D264" s="111">
        <v>2</v>
      </c>
      <c r="E264" s="14">
        <v>6.2829999999999997E-2</v>
      </c>
      <c r="F264" s="14">
        <f t="shared" ref="F264" si="94">IF($D$2*D264&lt;=200,0.33,0.25)</f>
        <v>0.33</v>
      </c>
      <c r="G264" s="14">
        <f t="shared" ref="G264:G265" si="95">E264*F264</f>
        <v>2.07339E-2</v>
      </c>
      <c r="H264" s="15">
        <f t="shared" ref="H264:H265" si="96">IF(($D$2*D264)&gt;40,750,IF(AND(8&lt;=($D$2*D264),($D$2*D264)&lt;=40),850,1000))</f>
        <v>750</v>
      </c>
      <c r="I264" s="15">
        <f t="shared" ref="I264:I265" si="97">(E264*F264*H264)</f>
        <v>15.550424999999999</v>
      </c>
      <c r="J264" s="22">
        <f>D264*I264</f>
        <v>31.100849999999998</v>
      </c>
      <c r="K264" s="113"/>
      <c r="L264" s="155"/>
      <c r="M264" s="176">
        <f>IFERROR((180/($D$2*D264)),0)</f>
        <v>1.3043478260869565</v>
      </c>
    </row>
    <row r="265" spans="2:13" ht="16.5" thickBot="1" x14ac:dyDescent="0.25">
      <c r="B265" s="190"/>
      <c r="C265" s="16"/>
      <c r="D265" s="114">
        <v>2</v>
      </c>
      <c r="E265" s="17">
        <v>4</v>
      </c>
      <c r="F265" s="152">
        <f t="shared" ref="F265" si="98">IF($D$2*D264&lt;=200,0.017,0.0085)</f>
        <v>1.7000000000000001E-2</v>
      </c>
      <c r="G265" s="18">
        <f t="shared" si="95"/>
        <v>6.8000000000000005E-2</v>
      </c>
      <c r="H265" s="115">
        <f t="shared" si="96"/>
        <v>750</v>
      </c>
      <c r="I265" s="115">
        <f t="shared" si="97"/>
        <v>51.000000000000007</v>
      </c>
      <c r="J265" s="23">
        <f>D265*I265</f>
        <v>102.00000000000001</v>
      </c>
      <c r="K265" s="116">
        <f t="shared" ref="K265" si="99">G264*D264+G265*D265</f>
        <v>0.17746780000000001</v>
      </c>
      <c r="L265" s="156">
        <f t="shared" ref="L265" si="100">J264+J265</f>
        <v>133.10085000000001</v>
      </c>
      <c r="M265" s="177"/>
    </row>
    <row r="266" spans="2:13" hidden="1" outlineLevel="1" x14ac:dyDescent="0.2">
      <c r="B266" s="20"/>
      <c r="C266" s="20" t="s">
        <v>344</v>
      </c>
      <c r="D266" s="112">
        <v>1</v>
      </c>
      <c r="E266" s="20"/>
      <c r="F266" s="20"/>
      <c r="G266" s="20"/>
      <c r="H266" s="20"/>
      <c r="I266" s="20"/>
      <c r="J266" s="24"/>
      <c r="K266" s="30"/>
      <c r="L266" s="157"/>
      <c r="M266" s="26"/>
    </row>
    <row r="267" spans="2:13" hidden="1" outlineLevel="1" x14ac:dyDescent="0.2">
      <c r="B267" s="19"/>
      <c r="C267" s="20" t="s">
        <v>345</v>
      </c>
      <c r="D267" s="112">
        <v>1</v>
      </c>
      <c r="E267" s="19"/>
      <c r="F267" s="19"/>
      <c r="G267" s="19"/>
      <c r="H267" s="19"/>
      <c r="I267" s="19"/>
      <c r="J267" s="25"/>
      <c r="K267" s="26"/>
      <c r="L267" s="103"/>
      <c r="M267" s="26"/>
    </row>
    <row r="268" spans="2:13" hidden="1" outlineLevel="1" x14ac:dyDescent="0.2">
      <c r="B268" s="19"/>
      <c r="C268" s="20" t="s">
        <v>346</v>
      </c>
      <c r="D268" s="112">
        <v>2</v>
      </c>
      <c r="E268" s="19"/>
      <c r="F268" s="19"/>
      <c r="G268" s="19"/>
      <c r="H268" s="19"/>
      <c r="I268" s="19"/>
      <c r="J268" s="25"/>
      <c r="K268" s="26"/>
      <c r="L268" s="103"/>
      <c r="M268" s="26"/>
    </row>
    <row r="269" spans="2:13" hidden="1" outlineLevel="1" x14ac:dyDescent="0.2">
      <c r="B269" s="19"/>
      <c r="C269" s="20"/>
      <c r="D269" s="112"/>
      <c r="E269" s="19"/>
      <c r="F269" s="19"/>
      <c r="G269" s="19"/>
      <c r="H269" s="19"/>
      <c r="I269" s="19"/>
      <c r="J269" s="25"/>
      <c r="K269" s="26"/>
      <c r="L269" s="103"/>
      <c r="M269" s="26"/>
    </row>
    <row r="270" spans="2:13" hidden="1" outlineLevel="1" x14ac:dyDescent="0.2">
      <c r="B270" s="19"/>
      <c r="C270" s="20"/>
      <c r="D270" s="112"/>
      <c r="E270" s="19"/>
      <c r="F270" s="19"/>
      <c r="G270" s="19"/>
      <c r="H270" s="19"/>
      <c r="I270" s="19"/>
      <c r="J270" s="25"/>
      <c r="K270" s="26"/>
      <c r="L270" s="103"/>
      <c r="M270" s="26"/>
    </row>
    <row r="271" spans="2:13" ht="15.75" hidden="1" outlineLevel="1" thickBot="1" x14ac:dyDescent="0.25">
      <c r="B271" s="27"/>
      <c r="C271" s="20"/>
      <c r="D271" s="112"/>
      <c r="E271" s="27"/>
      <c r="F271" s="27"/>
      <c r="G271" s="27"/>
      <c r="H271" s="27"/>
      <c r="I271" s="27"/>
      <c r="J271" s="28"/>
      <c r="K271" s="29"/>
      <c r="L271" s="158"/>
      <c r="M271" s="26"/>
    </row>
    <row r="272" spans="2:13" ht="63.75" collapsed="1" x14ac:dyDescent="0.2">
      <c r="B272" s="188">
        <v>16</v>
      </c>
      <c r="C272" s="191"/>
      <c r="D272" s="11" t="s">
        <v>9</v>
      </c>
      <c r="E272" s="12" t="s">
        <v>5</v>
      </c>
      <c r="F272" s="11" t="s">
        <v>6</v>
      </c>
      <c r="G272" s="11" t="s">
        <v>7</v>
      </c>
      <c r="H272" s="11" t="s">
        <v>8</v>
      </c>
      <c r="I272" s="12" t="s">
        <v>19</v>
      </c>
      <c r="J272" s="21" t="s">
        <v>20</v>
      </c>
      <c r="K272" s="32" t="s">
        <v>124</v>
      </c>
      <c r="L272" s="159" t="s">
        <v>125</v>
      </c>
      <c r="M272" s="33" t="s">
        <v>202</v>
      </c>
    </row>
    <row r="273" spans="2:13" ht="15.75" x14ac:dyDescent="0.2">
      <c r="B273" s="189"/>
      <c r="C273" s="192"/>
      <c r="D273" s="111">
        <v>1</v>
      </c>
      <c r="E273" s="14">
        <v>2.3085399999999998</v>
      </c>
      <c r="F273" s="14">
        <f t="shared" ref="F273" si="101">IF($D$2*D273&lt;=200,0.33,0.25)</f>
        <v>0.33</v>
      </c>
      <c r="G273" s="14">
        <f t="shared" ref="G273:G274" si="102">E273*F273</f>
        <v>0.7618182</v>
      </c>
      <c r="H273" s="15">
        <f t="shared" ref="H273:H274" si="103">IF(($D$2*D273)&gt;40,750,IF(AND(8&lt;=($D$2*D273),($D$2*D273)&lt;=40),850,1000))</f>
        <v>750</v>
      </c>
      <c r="I273" s="15">
        <f t="shared" ref="I273:I274" si="104">(E273*F273*H273)</f>
        <v>571.36365000000001</v>
      </c>
      <c r="J273" s="22">
        <f>D273*I273</f>
        <v>571.36365000000001</v>
      </c>
      <c r="K273" s="113"/>
      <c r="L273" s="155"/>
      <c r="M273" s="176">
        <f>IFERROR((180/($D$2*D273)),0)</f>
        <v>2.6086956521739131</v>
      </c>
    </row>
    <row r="274" spans="2:13" ht="16.5" thickBot="1" x14ac:dyDescent="0.25">
      <c r="B274" s="190"/>
      <c r="C274" s="16"/>
      <c r="D274" s="114">
        <v>1</v>
      </c>
      <c r="E274" s="17">
        <v>11</v>
      </c>
      <c r="F274" s="152">
        <f t="shared" ref="F274" si="105">IF($D$2*D273&lt;=200,0.017,0.0085)</f>
        <v>1.7000000000000001E-2</v>
      </c>
      <c r="G274" s="18">
        <f t="shared" si="102"/>
        <v>0.187</v>
      </c>
      <c r="H274" s="115">
        <f t="shared" si="103"/>
        <v>750</v>
      </c>
      <c r="I274" s="115">
        <f t="shared" si="104"/>
        <v>140.25</v>
      </c>
      <c r="J274" s="23">
        <f>D274*I274</f>
        <v>140.25</v>
      </c>
      <c r="K274" s="116">
        <f t="shared" ref="K274" si="106">G273*D273+G274*D274</f>
        <v>0.94881820000000006</v>
      </c>
      <c r="L274" s="156">
        <f t="shared" ref="L274" si="107">J273+J274</f>
        <v>711.61365000000001</v>
      </c>
      <c r="M274" s="177"/>
    </row>
    <row r="275" spans="2:13" hidden="1" outlineLevel="1" x14ac:dyDescent="0.2">
      <c r="B275" s="20"/>
      <c r="C275" s="20" t="s">
        <v>347</v>
      </c>
      <c r="D275" s="112">
        <v>1</v>
      </c>
      <c r="E275" s="20"/>
      <c r="F275" s="20"/>
      <c r="G275" s="20"/>
      <c r="H275" s="20"/>
      <c r="I275" s="20"/>
      <c r="J275" s="24"/>
      <c r="K275" s="30"/>
      <c r="L275" s="157"/>
      <c r="M275" s="26"/>
    </row>
    <row r="276" spans="2:13" outlineLevel="1" x14ac:dyDescent="0.2">
      <c r="B276" s="20"/>
      <c r="C276" s="20" t="s">
        <v>321</v>
      </c>
      <c r="D276" s="112">
        <v>2</v>
      </c>
      <c r="E276" s="20"/>
      <c r="F276" s="20"/>
      <c r="G276" s="20"/>
      <c r="H276" s="20"/>
      <c r="I276" s="20"/>
      <c r="J276" s="24"/>
      <c r="K276" s="30"/>
      <c r="L276" s="157"/>
      <c r="M276" s="26"/>
    </row>
    <row r="277" spans="2:13" ht="15.75" outlineLevel="1" thickBot="1" x14ac:dyDescent="0.25">
      <c r="B277" s="20"/>
      <c r="C277" s="20" t="s">
        <v>319</v>
      </c>
      <c r="D277" s="112">
        <v>2</v>
      </c>
      <c r="E277" s="20"/>
      <c r="F277" s="20"/>
      <c r="G277" s="20"/>
      <c r="H277" s="20"/>
      <c r="I277" s="20"/>
      <c r="J277" s="24"/>
      <c r="K277" s="30"/>
      <c r="L277" s="157"/>
      <c r="M277" s="26"/>
    </row>
    <row r="278" spans="2:13" hidden="1" outlineLevel="1" x14ac:dyDescent="0.2">
      <c r="B278" s="19"/>
      <c r="C278" s="20" t="s">
        <v>324</v>
      </c>
      <c r="D278" s="112">
        <v>1</v>
      </c>
      <c r="E278" s="19"/>
      <c r="F278" s="19"/>
      <c r="G278" s="19"/>
      <c r="H278" s="19"/>
      <c r="I278" s="19"/>
      <c r="J278" s="25"/>
      <c r="K278" s="26"/>
      <c r="L278" s="103"/>
      <c r="M278" s="26"/>
    </row>
    <row r="279" spans="2:13" hidden="1" outlineLevel="1" x14ac:dyDescent="0.2">
      <c r="B279" s="19"/>
      <c r="C279" s="20" t="s">
        <v>325</v>
      </c>
      <c r="D279" s="112">
        <v>1</v>
      </c>
      <c r="E279" s="19"/>
      <c r="F279" s="19"/>
      <c r="G279" s="19"/>
      <c r="H279" s="19"/>
      <c r="I279" s="19"/>
      <c r="J279" s="25"/>
      <c r="K279" s="26"/>
      <c r="L279" s="103"/>
      <c r="M279" s="26"/>
    </row>
    <row r="280" spans="2:13" hidden="1" outlineLevel="1" x14ac:dyDescent="0.2">
      <c r="B280" s="19"/>
      <c r="C280" s="20" t="s">
        <v>320</v>
      </c>
      <c r="D280" s="112">
        <v>2</v>
      </c>
      <c r="E280" s="19"/>
      <c r="F280" s="19"/>
      <c r="G280" s="19"/>
      <c r="H280" s="19"/>
      <c r="I280" s="19"/>
      <c r="J280" s="25"/>
      <c r="K280" s="26"/>
      <c r="L280" s="103"/>
      <c r="M280" s="26"/>
    </row>
    <row r="281" spans="2:13" hidden="1" outlineLevel="1" x14ac:dyDescent="0.2">
      <c r="B281" s="19"/>
      <c r="C281" s="20" t="s">
        <v>326</v>
      </c>
      <c r="D281" s="112">
        <v>1</v>
      </c>
      <c r="E281" s="19"/>
      <c r="F281" s="19"/>
      <c r="G281" s="19"/>
      <c r="H281" s="19"/>
      <c r="I281" s="19"/>
      <c r="J281" s="25"/>
      <c r="K281" s="26"/>
      <c r="L281" s="103"/>
      <c r="M281" s="26"/>
    </row>
    <row r="282" spans="2:13" ht="15.75" hidden="1" outlineLevel="1" thickBot="1" x14ac:dyDescent="0.25">
      <c r="B282" s="27"/>
      <c r="C282" s="20" t="s">
        <v>323</v>
      </c>
      <c r="D282" s="112">
        <v>1</v>
      </c>
      <c r="E282" s="27"/>
      <c r="F282" s="27"/>
      <c r="G282" s="27"/>
      <c r="H282" s="27"/>
      <c r="I282" s="27"/>
      <c r="J282" s="28"/>
      <c r="K282" s="29"/>
      <c r="L282" s="158"/>
      <c r="M282" s="26"/>
    </row>
    <row r="283" spans="2:13" ht="63.75" collapsed="1" x14ac:dyDescent="0.2">
      <c r="B283" s="188">
        <v>17</v>
      </c>
      <c r="C283" s="191"/>
      <c r="D283" s="11" t="s">
        <v>9</v>
      </c>
      <c r="E283" s="12" t="s">
        <v>5</v>
      </c>
      <c r="F283" s="11" t="s">
        <v>6</v>
      </c>
      <c r="G283" s="11" t="s">
        <v>7</v>
      </c>
      <c r="H283" s="11" t="s">
        <v>8</v>
      </c>
      <c r="I283" s="12" t="s">
        <v>19</v>
      </c>
      <c r="J283" s="21" t="s">
        <v>20</v>
      </c>
      <c r="K283" s="32" t="s">
        <v>124</v>
      </c>
      <c r="L283" s="159" t="s">
        <v>125</v>
      </c>
      <c r="M283" s="33" t="s">
        <v>202</v>
      </c>
    </row>
    <row r="284" spans="2:13" ht="15.75" x14ac:dyDescent="0.2">
      <c r="B284" s="189"/>
      <c r="C284" s="192"/>
      <c r="D284" s="111">
        <v>1</v>
      </c>
      <c r="E284" s="14">
        <v>0</v>
      </c>
      <c r="F284" s="14">
        <f t="shared" ref="F284" si="108">IF($D$2*D284&lt;=200,0.33,0.25)</f>
        <v>0.33</v>
      </c>
      <c r="G284" s="14">
        <f t="shared" ref="G284:G285" si="109">E284*F284</f>
        <v>0</v>
      </c>
      <c r="H284" s="15">
        <f t="shared" ref="H284:H285" si="110">IF(($D$2*D284)&gt;40,750,IF(AND(8&lt;=($D$2*D284),($D$2*D284)&lt;=40),850,1000))</f>
        <v>750</v>
      </c>
      <c r="I284" s="15">
        <f t="shared" ref="I284:I285" si="111">(E284*F284*H284)</f>
        <v>0</v>
      </c>
      <c r="J284" s="22">
        <f>D284*I284</f>
        <v>0</v>
      </c>
      <c r="K284" s="113"/>
      <c r="L284" s="155"/>
      <c r="M284" s="176">
        <f>IFERROR((180/($D$2*D284)),0)</f>
        <v>2.6086956521739131</v>
      </c>
    </row>
    <row r="285" spans="2:13" ht="16.5" thickBot="1" x14ac:dyDescent="0.25">
      <c r="B285" s="190"/>
      <c r="C285" s="16"/>
      <c r="D285" s="114">
        <v>1</v>
      </c>
      <c r="E285" s="17">
        <v>2</v>
      </c>
      <c r="F285" s="152">
        <f t="shared" ref="F285" si="112">IF($D$2*D284&lt;=200,0.017,0.0085)</f>
        <v>1.7000000000000001E-2</v>
      </c>
      <c r="G285" s="18">
        <f t="shared" si="109"/>
        <v>3.4000000000000002E-2</v>
      </c>
      <c r="H285" s="115">
        <f t="shared" si="110"/>
        <v>750</v>
      </c>
      <c r="I285" s="115">
        <f t="shared" si="111"/>
        <v>25.500000000000004</v>
      </c>
      <c r="J285" s="23">
        <f>D285*I285</f>
        <v>25.500000000000004</v>
      </c>
      <c r="K285" s="116">
        <f t="shared" ref="K285" si="113">G284*D284+G285*D285</f>
        <v>3.4000000000000002E-2</v>
      </c>
      <c r="L285" s="156">
        <f t="shared" ref="L285" si="114">J284+J285</f>
        <v>25.500000000000004</v>
      </c>
      <c r="M285" s="177"/>
    </row>
    <row r="286" spans="2:13" hidden="1" outlineLevel="1" x14ac:dyDescent="0.2">
      <c r="B286" s="20"/>
      <c r="C286" s="20" t="s">
        <v>348</v>
      </c>
      <c r="D286" s="112">
        <v>1</v>
      </c>
      <c r="E286" s="20"/>
      <c r="F286" s="20"/>
      <c r="G286" s="20"/>
      <c r="H286" s="20"/>
      <c r="I286" s="20"/>
      <c r="J286" s="24"/>
      <c r="K286" s="30"/>
      <c r="L286" s="157"/>
      <c r="M286" s="26"/>
    </row>
    <row r="287" spans="2:13" hidden="1" outlineLevel="1" x14ac:dyDescent="0.2">
      <c r="B287" s="19"/>
      <c r="C287" s="20" t="s">
        <v>328</v>
      </c>
      <c r="D287" s="112">
        <v>1</v>
      </c>
      <c r="E287" s="19"/>
      <c r="F287" s="19"/>
      <c r="G287" s="19"/>
      <c r="H287" s="19"/>
      <c r="I287" s="19"/>
      <c r="J287" s="25"/>
      <c r="K287" s="26"/>
      <c r="L287" s="103"/>
      <c r="M287" s="26"/>
    </row>
    <row r="288" spans="2:13" hidden="1" outlineLevel="1" x14ac:dyDescent="0.2">
      <c r="B288" s="19"/>
      <c r="C288" s="20"/>
      <c r="D288" s="112"/>
      <c r="E288" s="19"/>
      <c r="F288" s="19"/>
      <c r="G288" s="19"/>
      <c r="H288" s="19"/>
      <c r="I288" s="19"/>
      <c r="J288" s="25"/>
      <c r="K288" s="26"/>
      <c r="L288" s="103"/>
      <c r="M288" s="26"/>
    </row>
    <row r="289" spans="2:13" hidden="1" outlineLevel="1" x14ac:dyDescent="0.2">
      <c r="B289" s="19"/>
      <c r="C289" s="20"/>
      <c r="D289" s="112"/>
      <c r="E289" s="19"/>
      <c r="F289" s="19"/>
      <c r="G289" s="19"/>
      <c r="H289" s="19"/>
      <c r="I289" s="19"/>
      <c r="J289" s="25"/>
      <c r="K289" s="26"/>
      <c r="L289" s="103"/>
      <c r="M289" s="26"/>
    </row>
    <row r="290" spans="2:13" hidden="1" outlineLevel="1" x14ac:dyDescent="0.2">
      <c r="B290" s="19"/>
      <c r="C290" s="20"/>
      <c r="D290" s="112"/>
      <c r="E290" s="19"/>
      <c r="F290" s="19"/>
      <c r="G290" s="19"/>
      <c r="H290" s="19"/>
      <c r="I290" s="19"/>
      <c r="J290" s="25"/>
      <c r="K290" s="26"/>
      <c r="L290" s="103"/>
      <c r="M290" s="26"/>
    </row>
    <row r="291" spans="2:13" ht="15.75" hidden="1" outlineLevel="1" thickBot="1" x14ac:dyDescent="0.25">
      <c r="B291" s="27"/>
      <c r="C291" s="20"/>
      <c r="D291" s="112"/>
      <c r="E291" s="27"/>
      <c r="F291" s="27"/>
      <c r="G291" s="27"/>
      <c r="H291" s="27"/>
      <c r="I291" s="27"/>
      <c r="J291" s="28"/>
      <c r="K291" s="29"/>
      <c r="L291" s="158"/>
      <c r="M291" s="26"/>
    </row>
    <row r="292" spans="2:13" ht="63.75" collapsed="1" x14ac:dyDescent="0.2">
      <c r="B292" s="188">
        <v>18</v>
      </c>
      <c r="C292" s="191"/>
      <c r="D292" s="11" t="s">
        <v>9</v>
      </c>
      <c r="E292" s="12" t="s">
        <v>5</v>
      </c>
      <c r="F292" s="11" t="s">
        <v>6</v>
      </c>
      <c r="G292" s="11" t="s">
        <v>7</v>
      </c>
      <c r="H292" s="11" t="s">
        <v>8</v>
      </c>
      <c r="I292" s="12" t="s">
        <v>19</v>
      </c>
      <c r="J292" s="21" t="s">
        <v>20</v>
      </c>
      <c r="K292" s="32" t="s">
        <v>124</v>
      </c>
      <c r="L292" s="159" t="s">
        <v>125</v>
      </c>
      <c r="M292" s="33" t="s">
        <v>202</v>
      </c>
    </row>
    <row r="293" spans="2:13" ht="15.75" x14ac:dyDescent="0.2">
      <c r="B293" s="189"/>
      <c r="C293" s="192"/>
      <c r="D293" s="111">
        <v>1</v>
      </c>
      <c r="E293" s="14">
        <v>0</v>
      </c>
      <c r="F293" s="14">
        <f t="shared" ref="F293" si="115">IF($D$2*D293&lt;=200,0.33,0.25)</f>
        <v>0.33</v>
      </c>
      <c r="G293" s="14">
        <f t="shared" ref="G293:G294" si="116">E293*F293</f>
        <v>0</v>
      </c>
      <c r="H293" s="15">
        <f t="shared" ref="H293:H294" si="117">IF(($D$2*D293)&gt;40,750,IF(AND(8&lt;=($D$2*D293),($D$2*D293)&lt;=40),850,1000))</f>
        <v>750</v>
      </c>
      <c r="I293" s="15">
        <f t="shared" ref="I293:I294" si="118">(E293*F293*H293)</f>
        <v>0</v>
      </c>
      <c r="J293" s="22">
        <f>D293*I293</f>
        <v>0</v>
      </c>
      <c r="K293" s="113"/>
      <c r="L293" s="155"/>
      <c r="M293" s="176">
        <f>IFERROR((180/($D$2*D293)),0)</f>
        <v>2.6086956521739131</v>
      </c>
    </row>
    <row r="294" spans="2:13" ht="16.5" thickBot="1" x14ac:dyDescent="0.25">
      <c r="B294" s="190"/>
      <c r="C294" s="16"/>
      <c r="D294" s="114">
        <v>1</v>
      </c>
      <c r="E294" s="17">
        <v>29</v>
      </c>
      <c r="F294" s="152">
        <f t="shared" ref="F294" si="119">IF($D$2*D293&lt;=200,0.017,0.0085)</f>
        <v>1.7000000000000001E-2</v>
      </c>
      <c r="G294" s="18">
        <f t="shared" si="116"/>
        <v>0.49300000000000005</v>
      </c>
      <c r="H294" s="115">
        <f t="shared" si="117"/>
        <v>750</v>
      </c>
      <c r="I294" s="115">
        <f t="shared" si="118"/>
        <v>369.75000000000006</v>
      </c>
      <c r="J294" s="23">
        <f>D294*I294</f>
        <v>369.75000000000006</v>
      </c>
      <c r="K294" s="116">
        <f t="shared" ref="K294" si="120">G293*D293+G294*D294</f>
        <v>0.49300000000000005</v>
      </c>
      <c r="L294" s="156">
        <f t="shared" ref="L294" si="121">J293+J294</f>
        <v>369.75000000000006</v>
      </c>
      <c r="M294" s="177"/>
    </row>
    <row r="295" spans="2:13" hidden="1" outlineLevel="1" x14ac:dyDescent="0.2">
      <c r="B295" s="20"/>
      <c r="C295" s="20" t="s">
        <v>331</v>
      </c>
      <c r="D295" s="112">
        <v>1</v>
      </c>
      <c r="E295" s="20"/>
      <c r="F295" s="20"/>
      <c r="G295" s="20"/>
      <c r="H295" s="20"/>
      <c r="I295" s="20"/>
      <c r="J295" s="24"/>
      <c r="K295" s="30"/>
      <c r="L295" s="157"/>
      <c r="M295" s="26"/>
    </row>
    <row r="296" spans="2:13" hidden="1" outlineLevel="1" x14ac:dyDescent="0.2">
      <c r="B296" s="19"/>
      <c r="C296" s="20" t="s">
        <v>329</v>
      </c>
      <c r="D296" s="112">
        <v>24</v>
      </c>
      <c r="E296" s="19"/>
      <c r="F296" s="19"/>
      <c r="G296" s="19"/>
      <c r="H296" s="19"/>
      <c r="I296" s="19"/>
      <c r="J296" s="25"/>
      <c r="K296" s="26"/>
      <c r="L296" s="103"/>
      <c r="M296" s="26"/>
    </row>
    <row r="297" spans="2:13" hidden="1" outlineLevel="1" x14ac:dyDescent="0.2">
      <c r="B297" s="19"/>
      <c r="C297" s="20" t="s">
        <v>330</v>
      </c>
      <c r="D297" s="112">
        <v>2</v>
      </c>
      <c r="E297" s="19"/>
      <c r="F297" s="19"/>
      <c r="G297" s="19"/>
      <c r="H297" s="19"/>
      <c r="I297" s="19"/>
      <c r="J297" s="25"/>
      <c r="K297" s="26"/>
      <c r="L297" s="103"/>
      <c r="M297" s="26"/>
    </row>
    <row r="298" spans="2:13" hidden="1" outlineLevel="1" x14ac:dyDescent="0.2">
      <c r="B298" s="19"/>
      <c r="C298" s="20" t="s">
        <v>333</v>
      </c>
      <c r="D298" s="112">
        <v>1</v>
      </c>
      <c r="E298" s="19"/>
      <c r="F298" s="19"/>
      <c r="G298" s="19"/>
      <c r="H298" s="19"/>
      <c r="I298" s="19"/>
      <c r="J298" s="25"/>
      <c r="K298" s="26"/>
      <c r="L298" s="103"/>
      <c r="M298" s="26"/>
    </row>
    <row r="299" spans="2:13" hidden="1" outlineLevel="1" x14ac:dyDescent="0.2">
      <c r="B299" s="19"/>
      <c r="C299" s="20" t="s">
        <v>334</v>
      </c>
      <c r="D299" s="112">
        <v>1</v>
      </c>
      <c r="E299" s="19"/>
      <c r="F299" s="19"/>
      <c r="G299" s="19"/>
      <c r="H299" s="19"/>
      <c r="I299" s="19"/>
      <c r="J299" s="25"/>
      <c r="K299" s="26"/>
      <c r="L299" s="103"/>
      <c r="M299" s="26"/>
    </row>
    <row r="300" spans="2:13" ht="15.75" hidden="1" outlineLevel="1" thickBot="1" x14ac:dyDescent="0.25">
      <c r="B300" s="27"/>
      <c r="C300" s="20"/>
      <c r="D300" s="112"/>
      <c r="E300" s="27"/>
      <c r="F300" s="27"/>
      <c r="G300" s="27"/>
      <c r="H300" s="27"/>
      <c r="I300" s="27"/>
      <c r="J300" s="28"/>
      <c r="K300" s="29"/>
      <c r="L300" s="158"/>
      <c r="M300" s="26"/>
    </row>
    <row r="301" spans="2:13" ht="63.75" collapsed="1" x14ac:dyDescent="0.2">
      <c r="B301" s="188">
        <v>19</v>
      </c>
      <c r="C301" s="191"/>
      <c r="D301" s="11" t="s">
        <v>9</v>
      </c>
      <c r="E301" s="12" t="s">
        <v>5</v>
      </c>
      <c r="F301" s="11" t="s">
        <v>6</v>
      </c>
      <c r="G301" s="11" t="s">
        <v>7</v>
      </c>
      <c r="H301" s="11" t="s">
        <v>8</v>
      </c>
      <c r="I301" s="12" t="s">
        <v>19</v>
      </c>
      <c r="J301" s="21" t="s">
        <v>20</v>
      </c>
      <c r="K301" s="32" t="s">
        <v>124</v>
      </c>
      <c r="L301" s="159" t="s">
        <v>125</v>
      </c>
      <c r="M301" s="33" t="s">
        <v>202</v>
      </c>
    </row>
    <row r="302" spans="2:13" ht="15.75" x14ac:dyDescent="0.2">
      <c r="B302" s="189"/>
      <c r="C302" s="192"/>
      <c r="D302" s="111">
        <v>1</v>
      </c>
      <c r="E302" s="14">
        <v>0</v>
      </c>
      <c r="F302" s="14">
        <f t="shared" ref="F302" si="122">IF($D$2*D302&lt;=200,0.33,0.25)</f>
        <v>0.33</v>
      </c>
      <c r="G302" s="14">
        <f t="shared" ref="G302:G303" si="123">E302*F302</f>
        <v>0</v>
      </c>
      <c r="H302" s="15">
        <f t="shared" ref="H302:H303" si="124">IF(($D$2*D302)&gt;40,750,IF(AND(8&lt;=($D$2*D302),($D$2*D302)&lt;=40),850,1000))</f>
        <v>750</v>
      </c>
      <c r="I302" s="15">
        <f t="shared" ref="I302:I303" si="125">(E302*F302*H302)</f>
        <v>0</v>
      </c>
      <c r="J302" s="22">
        <f>D302*I302</f>
        <v>0</v>
      </c>
      <c r="K302" s="113"/>
      <c r="L302" s="155"/>
      <c r="M302" s="176">
        <f>IFERROR((180/($D$2*D302)),0)</f>
        <v>2.6086956521739131</v>
      </c>
    </row>
    <row r="303" spans="2:13" ht="16.5" thickBot="1" x14ac:dyDescent="0.25">
      <c r="B303" s="190"/>
      <c r="C303" s="16"/>
      <c r="D303" s="114">
        <v>1</v>
      </c>
      <c r="E303" s="17">
        <v>69</v>
      </c>
      <c r="F303" s="152">
        <f t="shared" ref="F303" si="126">IF($D$2*D302&lt;=200,0.017,0.0085)</f>
        <v>1.7000000000000001E-2</v>
      </c>
      <c r="G303" s="18">
        <f t="shared" si="123"/>
        <v>1.173</v>
      </c>
      <c r="H303" s="115">
        <f t="shared" si="124"/>
        <v>750</v>
      </c>
      <c r="I303" s="115">
        <f t="shared" si="125"/>
        <v>879.75</v>
      </c>
      <c r="J303" s="23">
        <f>D303*I303</f>
        <v>879.75</v>
      </c>
      <c r="K303" s="116">
        <f t="shared" ref="K303" si="127">G302*D302+G303*D303</f>
        <v>1.173</v>
      </c>
      <c r="L303" s="156">
        <f t="shared" ref="L303" si="128">J302+J303</f>
        <v>879.75</v>
      </c>
      <c r="M303" s="177"/>
    </row>
    <row r="304" spans="2:13" hidden="1" outlineLevel="1" x14ac:dyDescent="0.2">
      <c r="B304" s="20"/>
      <c r="C304" s="20" t="s">
        <v>349</v>
      </c>
      <c r="D304" s="112">
        <v>50</v>
      </c>
      <c r="E304" s="20"/>
      <c r="F304" s="20"/>
      <c r="G304" s="20"/>
      <c r="H304" s="20"/>
      <c r="I304" s="20"/>
      <c r="J304" s="24"/>
      <c r="K304" s="30"/>
      <c r="L304" s="157"/>
      <c r="M304" s="26"/>
    </row>
    <row r="305" spans="2:13" outlineLevel="1" x14ac:dyDescent="0.2">
      <c r="B305" s="20"/>
      <c r="C305" s="20" t="s">
        <v>332</v>
      </c>
      <c r="D305" s="112">
        <v>1</v>
      </c>
      <c r="E305" s="20"/>
      <c r="F305" s="20"/>
      <c r="G305" s="20"/>
      <c r="H305" s="20"/>
      <c r="I305" s="20"/>
      <c r="J305" s="24"/>
      <c r="K305" s="30"/>
      <c r="L305" s="157"/>
      <c r="M305" s="26"/>
    </row>
    <row r="306" spans="2:13" outlineLevel="1" x14ac:dyDescent="0.2">
      <c r="B306" s="20"/>
      <c r="C306" s="20" t="s">
        <v>350</v>
      </c>
      <c r="D306" s="112">
        <v>1</v>
      </c>
      <c r="E306" s="20"/>
      <c r="F306" s="20"/>
      <c r="G306" s="20"/>
      <c r="H306" s="20"/>
      <c r="I306" s="20"/>
      <c r="J306" s="24"/>
      <c r="K306" s="30"/>
      <c r="L306" s="157"/>
      <c r="M306" s="26"/>
    </row>
    <row r="307" spans="2:13" outlineLevel="1" x14ac:dyDescent="0.2">
      <c r="B307" s="20"/>
      <c r="C307" s="20" t="s">
        <v>351</v>
      </c>
      <c r="D307" s="112">
        <v>1</v>
      </c>
      <c r="E307" s="20"/>
      <c r="F307" s="20"/>
      <c r="G307" s="20"/>
      <c r="H307" s="20"/>
      <c r="I307" s="20"/>
      <c r="J307" s="24"/>
      <c r="K307" s="30"/>
      <c r="L307" s="157"/>
      <c r="M307" s="26"/>
    </row>
    <row r="308" spans="2:13" outlineLevel="1" x14ac:dyDescent="0.2">
      <c r="B308" s="20"/>
      <c r="C308" s="20" t="s">
        <v>352</v>
      </c>
      <c r="D308" s="112">
        <v>1</v>
      </c>
      <c r="E308" s="20"/>
      <c r="F308" s="20"/>
      <c r="G308" s="20"/>
      <c r="H308" s="20"/>
      <c r="I308" s="20"/>
      <c r="J308" s="24"/>
      <c r="K308" s="30"/>
      <c r="L308" s="157"/>
      <c r="M308" s="26"/>
    </row>
    <row r="309" spans="2:13" outlineLevel="1" x14ac:dyDescent="0.2">
      <c r="B309" s="20"/>
      <c r="C309" s="20" t="s">
        <v>353</v>
      </c>
      <c r="D309" s="112">
        <v>4</v>
      </c>
      <c r="E309" s="20"/>
      <c r="F309" s="20"/>
      <c r="G309" s="20"/>
      <c r="H309" s="20"/>
      <c r="I309" s="20"/>
      <c r="J309" s="24"/>
      <c r="K309" s="30"/>
      <c r="L309" s="157"/>
      <c r="M309" s="26"/>
    </row>
    <row r="310" spans="2:13" ht="15.75" outlineLevel="1" thickBot="1" x14ac:dyDescent="0.25">
      <c r="B310" s="20"/>
      <c r="C310" s="20" t="s">
        <v>354</v>
      </c>
      <c r="D310" s="112">
        <v>2</v>
      </c>
      <c r="E310" s="20"/>
      <c r="F310" s="20"/>
      <c r="G310" s="20"/>
      <c r="H310" s="20"/>
      <c r="I310" s="20"/>
      <c r="J310" s="24"/>
      <c r="K310" s="30"/>
      <c r="L310" s="157"/>
      <c r="M310" s="26"/>
    </row>
    <row r="311" spans="2:13" hidden="1" outlineLevel="1" x14ac:dyDescent="0.2">
      <c r="B311" s="19"/>
      <c r="C311" s="20" t="s">
        <v>355</v>
      </c>
      <c r="D311" s="112">
        <v>2</v>
      </c>
      <c r="E311" s="19"/>
      <c r="F311" s="19"/>
      <c r="G311" s="19"/>
      <c r="H311" s="19"/>
      <c r="I311" s="19"/>
      <c r="J311" s="25"/>
      <c r="K311" s="26"/>
      <c r="L311" s="103"/>
      <c r="M311" s="26"/>
    </row>
    <row r="312" spans="2:13" hidden="1" outlineLevel="1" x14ac:dyDescent="0.2">
      <c r="B312" s="19"/>
      <c r="C312" s="20" t="s">
        <v>356</v>
      </c>
      <c r="D312" s="112">
        <v>2</v>
      </c>
      <c r="E312" s="19"/>
      <c r="F312" s="19"/>
      <c r="G312" s="19"/>
      <c r="H312" s="19"/>
      <c r="I312" s="19"/>
      <c r="J312" s="25"/>
      <c r="K312" s="26"/>
      <c r="L312" s="103"/>
      <c r="M312" s="26"/>
    </row>
    <row r="313" spans="2:13" hidden="1" outlineLevel="1" x14ac:dyDescent="0.2">
      <c r="B313" s="19"/>
      <c r="C313" s="20" t="s">
        <v>357</v>
      </c>
      <c r="D313" s="112">
        <v>2</v>
      </c>
      <c r="E313" s="19"/>
      <c r="F313" s="19"/>
      <c r="G313" s="19"/>
      <c r="H313" s="19"/>
      <c r="I313" s="19"/>
      <c r="J313" s="25"/>
      <c r="K313" s="26"/>
      <c r="L313" s="103"/>
      <c r="M313" s="26"/>
    </row>
    <row r="314" spans="2:13" hidden="1" outlineLevel="1" x14ac:dyDescent="0.2">
      <c r="B314" s="19"/>
      <c r="C314" s="20" t="s">
        <v>358</v>
      </c>
      <c r="D314" s="112">
        <v>1</v>
      </c>
      <c r="E314" s="19"/>
      <c r="F314" s="19"/>
      <c r="G314" s="19"/>
      <c r="H314" s="19"/>
      <c r="I314" s="19"/>
      <c r="J314" s="25"/>
      <c r="K314" s="26"/>
      <c r="L314" s="103"/>
      <c r="M314" s="26"/>
    </row>
    <row r="315" spans="2:13" ht="15.75" hidden="1" outlineLevel="1" thickBot="1" x14ac:dyDescent="0.25">
      <c r="B315" s="27"/>
      <c r="C315" s="20" t="s">
        <v>359</v>
      </c>
      <c r="D315" s="112">
        <v>2</v>
      </c>
      <c r="E315" s="27"/>
      <c r="F315" s="27"/>
      <c r="G315" s="27"/>
      <c r="H315" s="27"/>
      <c r="I315" s="27"/>
      <c r="J315" s="28"/>
      <c r="K315" s="29"/>
      <c r="L315" s="158"/>
      <c r="M315" s="26"/>
    </row>
    <row r="316" spans="2:13" ht="63.75" collapsed="1" x14ac:dyDescent="0.2">
      <c r="B316" s="188">
        <v>20</v>
      </c>
      <c r="C316" s="191"/>
      <c r="D316" s="11" t="s">
        <v>9</v>
      </c>
      <c r="E316" s="12" t="s">
        <v>5</v>
      </c>
      <c r="F316" s="11" t="s">
        <v>6</v>
      </c>
      <c r="G316" s="11" t="s">
        <v>7</v>
      </c>
      <c r="H316" s="11" t="s">
        <v>8</v>
      </c>
      <c r="I316" s="12" t="s">
        <v>19</v>
      </c>
      <c r="J316" s="21" t="s">
        <v>20</v>
      </c>
      <c r="K316" s="32" t="s">
        <v>124</v>
      </c>
      <c r="L316" s="159" t="s">
        <v>125</v>
      </c>
      <c r="M316" s="33" t="s">
        <v>202</v>
      </c>
    </row>
    <row r="317" spans="2:13" ht="15.75" x14ac:dyDescent="0.2">
      <c r="B317" s="189"/>
      <c r="C317" s="192"/>
      <c r="D317" s="111">
        <v>0</v>
      </c>
      <c r="E317" s="14">
        <v>0</v>
      </c>
      <c r="F317" s="14">
        <f t="shared" ref="F317" si="129">IF($D$2*D317&lt;=200,0.33,0.25)</f>
        <v>0.33</v>
      </c>
      <c r="G317" s="14">
        <f t="shared" ref="G317:G318" si="130">E317*F317</f>
        <v>0</v>
      </c>
      <c r="H317" s="15">
        <f t="shared" ref="H317:H318" si="131">IF(($D$2*D317)&gt;40,750,IF(AND(8&lt;=($D$2*D317),($D$2*D317)&lt;=40),850,1000))</f>
        <v>1000</v>
      </c>
      <c r="I317" s="15">
        <f t="shared" ref="I317:I318" si="132">(E317*F317*H317)</f>
        <v>0</v>
      </c>
      <c r="J317" s="22">
        <f>D317*I317</f>
        <v>0</v>
      </c>
      <c r="K317" s="113"/>
      <c r="L317" s="155"/>
      <c r="M317" s="176">
        <f>IFERROR((180/($D$2*D317)),0)</f>
        <v>0</v>
      </c>
    </row>
    <row r="318" spans="2:13" ht="16.5" thickBot="1" x14ac:dyDescent="0.25">
      <c r="B318" s="190"/>
      <c r="C318" s="16"/>
      <c r="D318" s="114">
        <v>0</v>
      </c>
      <c r="E318" s="17"/>
      <c r="F318" s="152">
        <f t="shared" ref="F318" si="133">IF($D$2*D317&lt;=200,0.017,0.0085)</f>
        <v>1.7000000000000001E-2</v>
      </c>
      <c r="G318" s="18">
        <f t="shared" si="130"/>
        <v>0</v>
      </c>
      <c r="H318" s="115">
        <f t="shared" si="131"/>
        <v>1000</v>
      </c>
      <c r="I318" s="115">
        <f t="shared" si="132"/>
        <v>0</v>
      </c>
      <c r="J318" s="23">
        <f>D318*I318</f>
        <v>0</v>
      </c>
      <c r="K318" s="116">
        <f t="shared" ref="K318" si="134">G317*D317+G318*D318</f>
        <v>0</v>
      </c>
      <c r="L318" s="156">
        <f t="shared" ref="L318" si="135">J317+J318</f>
        <v>0</v>
      </c>
      <c r="M318" s="177"/>
    </row>
    <row r="319" spans="2:13" hidden="1" outlineLevel="1" x14ac:dyDescent="0.2">
      <c r="B319" s="20"/>
      <c r="C319" s="20"/>
      <c r="D319" s="112"/>
      <c r="E319" s="20"/>
      <c r="F319" s="20"/>
      <c r="G319" s="20"/>
      <c r="H319" s="20"/>
      <c r="I319" s="20"/>
      <c r="J319" s="24"/>
      <c r="K319" s="30"/>
      <c r="L319" s="157"/>
      <c r="M319" s="26"/>
    </row>
    <row r="320" spans="2:13" hidden="1" outlineLevel="1" x14ac:dyDescent="0.2">
      <c r="B320" s="19"/>
      <c r="C320" s="20"/>
      <c r="D320" s="112"/>
      <c r="E320" s="19"/>
      <c r="F320" s="19"/>
      <c r="G320" s="19"/>
      <c r="H320" s="19"/>
      <c r="I320" s="19"/>
      <c r="J320" s="25"/>
      <c r="K320" s="26"/>
      <c r="L320" s="103"/>
      <c r="M320" s="26"/>
    </row>
    <row r="321" spans="2:13" hidden="1" outlineLevel="1" x14ac:dyDescent="0.2">
      <c r="B321" s="19"/>
      <c r="C321" s="20"/>
      <c r="D321" s="112"/>
      <c r="E321" s="19"/>
      <c r="F321" s="19"/>
      <c r="G321" s="19"/>
      <c r="H321" s="19"/>
      <c r="I321" s="19"/>
      <c r="J321" s="25"/>
      <c r="K321" s="26"/>
      <c r="L321" s="103"/>
      <c r="M321" s="26"/>
    </row>
    <row r="322" spans="2:13" hidden="1" outlineLevel="1" x14ac:dyDescent="0.2">
      <c r="B322" s="19"/>
      <c r="C322" s="20"/>
      <c r="D322" s="112"/>
      <c r="E322" s="19"/>
      <c r="F322" s="19"/>
      <c r="G322" s="19"/>
      <c r="H322" s="19"/>
      <c r="I322" s="19"/>
      <c r="J322" s="25"/>
      <c r="K322" s="26"/>
      <c r="L322" s="103"/>
      <c r="M322" s="26"/>
    </row>
    <row r="323" spans="2:13" hidden="1" outlineLevel="1" x14ac:dyDescent="0.2">
      <c r="B323" s="19"/>
      <c r="C323" s="20"/>
      <c r="D323" s="112"/>
      <c r="E323" s="19"/>
      <c r="F323" s="19"/>
      <c r="G323" s="19"/>
      <c r="H323" s="19"/>
      <c r="I323" s="19"/>
      <c r="J323" s="25"/>
      <c r="K323" s="26"/>
      <c r="L323" s="103"/>
      <c r="M323" s="26"/>
    </row>
    <row r="324" spans="2:13" ht="15.75" hidden="1" outlineLevel="1" thickBot="1" x14ac:dyDescent="0.25">
      <c r="B324" s="27"/>
      <c r="C324" s="20"/>
      <c r="D324" s="112"/>
      <c r="E324" s="27"/>
      <c r="F324" s="27"/>
      <c r="G324" s="27"/>
      <c r="H324" s="27"/>
      <c r="I324" s="27"/>
      <c r="J324" s="28"/>
      <c r="K324" s="29"/>
      <c r="L324" s="158"/>
      <c r="M324" s="26"/>
    </row>
    <row r="325" spans="2:13" ht="63.75" collapsed="1" x14ac:dyDescent="0.2">
      <c r="B325" s="188">
        <v>21</v>
      </c>
      <c r="C325" s="191"/>
      <c r="D325" s="11" t="s">
        <v>9</v>
      </c>
      <c r="E325" s="12" t="s">
        <v>5</v>
      </c>
      <c r="F325" s="11" t="s">
        <v>6</v>
      </c>
      <c r="G325" s="11" t="s">
        <v>7</v>
      </c>
      <c r="H325" s="11" t="s">
        <v>8</v>
      </c>
      <c r="I325" s="12" t="s">
        <v>19</v>
      </c>
      <c r="J325" s="21" t="s">
        <v>20</v>
      </c>
      <c r="K325" s="32" t="s">
        <v>124</v>
      </c>
      <c r="L325" s="159" t="s">
        <v>125</v>
      </c>
      <c r="M325" s="33" t="s">
        <v>202</v>
      </c>
    </row>
    <row r="326" spans="2:13" ht="15.75" x14ac:dyDescent="0.2">
      <c r="B326" s="189"/>
      <c r="C326" s="192"/>
      <c r="D326" s="111">
        <v>0</v>
      </c>
      <c r="E326" s="14">
        <v>0</v>
      </c>
      <c r="F326" s="14">
        <f t="shared" ref="F326" si="136">IF($D$2*D326&lt;=200,0.33,0.25)</f>
        <v>0.33</v>
      </c>
      <c r="G326" s="14">
        <f t="shared" ref="G326:G327" si="137">E326*F326</f>
        <v>0</v>
      </c>
      <c r="H326" s="15">
        <f t="shared" ref="H326:H327" si="138">IF(($D$2*D326)&gt;40,750,IF(AND(8&lt;=($D$2*D326),($D$2*D326)&lt;=40),850,1000))</f>
        <v>1000</v>
      </c>
      <c r="I326" s="15">
        <f t="shared" ref="I326:I327" si="139">(E326*F326*H326)</f>
        <v>0</v>
      </c>
      <c r="J326" s="22">
        <f>D326*I326</f>
        <v>0</v>
      </c>
      <c r="K326" s="113"/>
      <c r="L326" s="155"/>
      <c r="M326" s="176">
        <f>IFERROR((180/($D$2*D326)),0)</f>
        <v>0</v>
      </c>
    </row>
    <row r="327" spans="2:13" ht="16.5" thickBot="1" x14ac:dyDescent="0.25">
      <c r="B327" s="190"/>
      <c r="C327" s="16"/>
      <c r="D327" s="114">
        <v>0</v>
      </c>
      <c r="E327" s="17"/>
      <c r="F327" s="152">
        <f t="shared" ref="F327" si="140">IF($D$2*D326&lt;=200,0.017,0.0085)</f>
        <v>1.7000000000000001E-2</v>
      </c>
      <c r="G327" s="18">
        <f t="shared" si="137"/>
        <v>0</v>
      </c>
      <c r="H327" s="115">
        <f t="shared" si="138"/>
        <v>1000</v>
      </c>
      <c r="I327" s="115">
        <f t="shared" si="139"/>
        <v>0</v>
      </c>
      <c r="J327" s="23">
        <f>D327*I327</f>
        <v>0</v>
      </c>
      <c r="K327" s="116">
        <f t="shared" ref="K327" si="141">G326*D326+G327*D327</f>
        <v>0</v>
      </c>
      <c r="L327" s="156">
        <f t="shared" ref="L327" si="142">J326+J327</f>
        <v>0</v>
      </c>
      <c r="M327" s="177"/>
    </row>
    <row r="328" spans="2:13" hidden="1" outlineLevel="1" x14ac:dyDescent="0.2">
      <c r="B328" s="20"/>
      <c r="C328" s="20"/>
      <c r="D328" s="112"/>
      <c r="E328" s="20"/>
      <c r="F328" s="20"/>
      <c r="G328" s="20"/>
      <c r="H328" s="20"/>
      <c r="I328" s="20"/>
      <c r="J328" s="24"/>
      <c r="K328" s="30"/>
      <c r="L328" s="157"/>
      <c r="M328" s="26"/>
    </row>
    <row r="329" spans="2:13" hidden="1" outlineLevel="1" x14ac:dyDescent="0.2">
      <c r="B329" s="19"/>
      <c r="C329" s="20"/>
      <c r="D329" s="112"/>
      <c r="E329" s="19"/>
      <c r="F329" s="19"/>
      <c r="G329" s="19"/>
      <c r="H329" s="19"/>
      <c r="I329" s="19"/>
      <c r="J329" s="25"/>
      <c r="K329" s="26"/>
      <c r="L329" s="103"/>
      <c r="M329" s="26"/>
    </row>
    <row r="330" spans="2:13" hidden="1" outlineLevel="1" x14ac:dyDescent="0.2">
      <c r="B330" s="19"/>
      <c r="C330" s="20"/>
      <c r="D330" s="112"/>
      <c r="E330" s="19"/>
      <c r="F330" s="19"/>
      <c r="G330" s="19"/>
      <c r="H330" s="19"/>
      <c r="I330" s="19"/>
      <c r="J330" s="25"/>
      <c r="K330" s="26"/>
      <c r="L330" s="103"/>
      <c r="M330" s="26"/>
    </row>
    <row r="331" spans="2:13" hidden="1" outlineLevel="1" x14ac:dyDescent="0.2">
      <c r="B331" s="19"/>
      <c r="C331" s="20"/>
      <c r="D331" s="112"/>
      <c r="E331" s="19"/>
      <c r="F331" s="19"/>
      <c r="G331" s="19"/>
      <c r="H331" s="19"/>
      <c r="I331" s="19"/>
      <c r="J331" s="25"/>
      <c r="K331" s="26"/>
      <c r="L331" s="103"/>
      <c r="M331" s="26"/>
    </row>
    <row r="332" spans="2:13" hidden="1" outlineLevel="1" x14ac:dyDescent="0.2">
      <c r="B332" s="19"/>
      <c r="C332" s="20"/>
      <c r="D332" s="112"/>
      <c r="E332" s="19"/>
      <c r="F332" s="19"/>
      <c r="G332" s="19"/>
      <c r="H332" s="19"/>
      <c r="I332" s="19"/>
      <c r="J332" s="25"/>
      <c r="K332" s="26"/>
      <c r="L332" s="103"/>
      <c r="M332" s="26"/>
    </row>
    <row r="333" spans="2:13" ht="15.75" hidden="1" outlineLevel="1" thickBot="1" x14ac:dyDescent="0.25">
      <c r="B333" s="27"/>
      <c r="C333" s="20"/>
      <c r="D333" s="112"/>
      <c r="E333" s="27"/>
      <c r="F333" s="27"/>
      <c r="G333" s="27"/>
      <c r="H333" s="27"/>
      <c r="I333" s="27"/>
      <c r="J333" s="28"/>
      <c r="K333" s="29"/>
      <c r="L333" s="158"/>
      <c r="M333" s="26"/>
    </row>
    <row r="334" spans="2:13" ht="63.75" collapsed="1" x14ac:dyDescent="0.2">
      <c r="B334" s="188">
        <v>22</v>
      </c>
      <c r="C334" s="191"/>
      <c r="D334" s="11" t="s">
        <v>9</v>
      </c>
      <c r="E334" s="12" t="s">
        <v>5</v>
      </c>
      <c r="F334" s="11" t="s">
        <v>6</v>
      </c>
      <c r="G334" s="11" t="s">
        <v>7</v>
      </c>
      <c r="H334" s="11" t="s">
        <v>8</v>
      </c>
      <c r="I334" s="12" t="s">
        <v>19</v>
      </c>
      <c r="J334" s="21" t="s">
        <v>20</v>
      </c>
      <c r="K334" s="32" t="s">
        <v>124</v>
      </c>
      <c r="L334" s="159" t="s">
        <v>125</v>
      </c>
      <c r="M334" s="33" t="s">
        <v>202</v>
      </c>
    </row>
    <row r="335" spans="2:13" ht="15.75" x14ac:dyDescent="0.2">
      <c r="B335" s="189"/>
      <c r="C335" s="192"/>
      <c r="D335" s="111">
        <v>0</v>
      </c>
      <c r="E335" s="14">
        <v>0</v>
      </c>
      <c r="F335" s="14">
        <f t="shared" ref="F335" si="143">IF($D$2*D335&lt;=200,0.33,0.25)</f>
        <v>0.33</v>
      </c>
      <c r="G335" s="14">
        <f t="shared" ref="G335:G336" si="144">E335*F335</f>
        <v>0</v>
      </c>
      <c r="H335" s="15">
        <f t="shared" ref="H335:H336" si="145">IF(($D$2*D335)&gt;40,750,IF(AND(8&lt;=($D$2*D335),($D$2*D335)&lt;=40),850,1000))</f>
        <v>1000</v>
      </c>
      <c r="I335" s="15">
        <f t="shared" ref="I335:I336" si="146">(E335*F335*H335)</f>
        <v>0</v>
      </c>
      <c r="J335" s="22">
        <f>D335*I335</f>
        <v>0</v>
      </c>
      <c r="K335" s="113"/>
      <c r="L335" s="155"/>
      <c r="M335" s="176">
        <f>IFERROR((180/($D$2*D335)),0)</f>
        <v>0</v>
      </c>
    </row>
    <row r="336" spans="2:13" ht="16.5" thickBot="1" x14ac:dyDescent="0.25">
      <c r="B336" s="190"/>
      <c r="C336" s="16"/>
      <c r="D336" s="114">
        <v>0</v>
      </c>
      <c r="E336" s="17"/>
      <c r="F336" s="152">
        <f t="shared" ref="F336" si="147">IF($D$2*D335&lt;=200,0.017,0.0085)</f>
        <v>1.7000000000000001E-2</v>
      </c>
      <c r="G336" s="18">
        <f t="shared" si="144"/>
        <v>0</v>
      </c>
      <c r="H336" s="115">
        <f t="shared" si="145"/>
        <v>1000</v>
      </c>
      <c r="I336" s="115">
        <f t="shared" si="146"/>
        <v>0</v>
      </c>
      <c r="J336" s="23">
        <f>D336*I336</f>
        <v>0</v>
      </c>
      <c r="K336" s="116">
        <f t="shared" ref="K336" si="148">G335*D335+G336*D336</f>
        <v>0</v>
      </c>
      <c r="L336" s="156">
        <f t="shared" ref="L336" si="149">J335+J336</f>
        <v>0</v>
      </c>
      <c r="M336" s="177"/>
    </row>
    <row r="337" spans="2:13" hidden="1" outlineLevel="1" x14ac:dyDescent="0.2">
      <c r="B337" s="20"/>
      <c r="C337" s="20"/>
      <c r="D337" s="112"/>
      <c r="E337" s="20"/>
      <c r="F337" s="20"/>
      <c r="G337" s="20"/>
      <c r="H337" s="20"/>
      <c r="I337" s="20"/>
      <c r="J337" s="24"/>
      <c r="K337" s="30"/>
      <c r="L337" s="157"/>
      <c r="M337" s="26"/>
    </row>
    <row r="338" spans="2:13" hidden="1" outlineLevel="1" x14ac:dyDescent="0.2">
      <c r="B338" s="19"/>
      <c r="C338" s="20"/>
      <c r="D338" s="112"/>
      <c r="E338" s="19"/>
      <c r="F338" s="19"/>
      <c r="G338" s="19"/>
      <c r="H338" s="19"/>
      <c r="I338" s="19"/>
      <c r="J338" s="25"/>
      <c r="K338" s="26"/>
      <c r="L338" s="103"/>
      <c r="M338" s="26"/>
    </row>
    <row r="339" spans="2:13" hidden="1" outlineLevel="1" x14ac:dyDescent="0.2">
      <c r="B339" s="19"/>
      <c r="C339" s="20"/>
      <c r="D339" s="112"/>
      <c r="E339" s="19"/>
      <c r="F339" s="19"/>
      <c r="G339" s="19"/>
      <c r="H339" s="19"/>
      <c r="I339" s="19"/>
      <c r="J339" s="25"/>
      <c r="K339" s="26"/>
      <c r="L339" s="103"/>
      <c r="M339" s="26"/>
    </row>
    <row r="340" spans="2:13" hidden="1" outlineLevel="1" x14ac:dyDescent="0.2">
      <c r="B340" s="19"/>
      <c r="C340" s="20"/>
      <c r="D340" s="112"/>
      <c r="E340" s="19"/>
      <c r="F340" s="19"/>
      <c r="G340" s="19"/>
      <c r="H340" s="19"/>
      <c r="I340" s="19"/>
      <c r="J340" s="25"/>
      <c r="K340" s="26"/>
      <c r="L340" s="103"/>
      <c r="M340" s="26"/>
    </row>
    <row r="341" spans="2:13" hidden="1" outlineLevel="1" x14ac:dyDescent="0.2">
      <c r="B341" s="19"/>
      <c r="C341" s="20"/>
      <c r="D341" s="112"/>
      <c r="E341" s="19"/>
      <c r="F341" s="19"/>
      <c r="G341" s="19"/>
      <c r="H341" s="19"/>
      <c r="I341" s="19"/>
      <c r="J341" s="25"/>
      <c r="K341" s="26"/>
      <c r="L341" s="103"/>
      <c r="M341" s="26"/>
    </row>
    <row r="342" spans="2:13" ht="15.75" hidden="1" outlineLevel="1" thickBot="1" x14ac:dyDescent="0.25">
      <c r="B342" s="27"/>
      <c r="C342" s="20"/>
      <c r="D342" s="112"/>
      <c r="E342" s="27"/>
      <c r="F342" s="27"/>
      <c r="G342" s="27"/>
      <c r="H342" s="27"/>
      <c r="I342" s="27"/>
      <c r="J342" s="28"/>
      <c r="K342" s="29"/>
      <c r="L342" s="158"/>
      <c r="M342" s="26"/>
    </row>
    <row r="343" spans="2:13" ht="63.75" collapsed="1" x14ac:dyDescent="0.2">
      <c r="B343" s="188">
        <v>23</v>
      </c>
      <c r="C343" s="191"/>
      <c r="D343" s="11" t="s">
        <v>9</v>
      </c>
      <c r="E343" s="12" t="s">
        <v>5</v>
      </c>
      <c r="F343" s="11" t="s">
        <v>6</v>
      </c>
      <c r="G343" s="11" t="s">
        <v>7</v>
      </c>
      <c r="H343" s="11" t="s">
        <v>8</v>
      </c>
      <c r="I343" s="12" t="s">
        <v>19</v>
      </c>
      <c r="J343" s="21" t="s">
        <v>20</v>
      </c>
      <c r="K343" s="32" t="s">
        <v>124</v>
      </c>
      <c r="L343" s="159" t="s">
        <v>125</v>
      </c>
      <c r="M343" s="33" t="s">
        <v>202</v>
      </c>
    </row>
    <row r="344" spans="2:13" ht="15.75" x14ac:dyDescent="0.2">
      <c r="B344" s="189"/>
      <c r="C344" s="192"/>
      <c r="D344" s="111">
        <v>0</v>
      </c>
      <c r="E344" s="14">
        <v>0</v>
      </c>
      <c r="F344" s="14">
        <f t="shared" ref="F344" si="150">IF($D$2*D344&lt;=200,0.33,0.25)</f>
        <v>0.33</v>
      </c>
      <c r="G344" s="14">
        <f t="shared" ref="G344:G345" si="151">E344*F344</f>
        <v>0</v>
      </c>
      <c r="H344" s="15">
        <f t="shared" ref="H344:H345" si="152">IF(($D$2*D344)&gt;40,750,IF(AND(8&lt;=($D$2*D344),($D$2*D344)&lt;=40),850,1000))</f>
        <v>1000</v>
      </c>
      <c r="I344" s="15">
        <f t="shared" ref="I344:I345" si="153">(E344*F344*H344)</f>
        <v>0</v>
      </c>
      <c r="J344" s="22">
        <f>D344*I344</f>
        <v>0</v>
      </c>
      <c r="K344" s="113"/>
      <c r="L344" s="155"/>
      <c r="M344" s="176">
        <f>IFERROR((180/($D$2*D344)),0)</f>
        <v>0</v>
      </c>
    </row>
    <row r="345" spans="2:13" ht="16.5" thickBot="1" x14ac:dyDescent="0.25">
      <c r="B345" s="190"/>
      <c r="C345" s="16"/>
      <c r="D345" s="114">
        <v>0</v>
      </c>
      <c r="E345" s="17"/>
      <c r="F345" s="152">
        <f t="shared" ref="F345" si="154">IF($D$2*D344&lt;=200,0.017,0.0085)</f>
        <v>1.7000000000000001E-2</v>
      </c>
      <c r="G345" s="18">
        <f t="shared" si="151"/>
        <v>0</v>
      </c>
      <c r="H345" s="115">
        <f t="shared" si="152"/>
        <v>1000</v>
      </c>
      <c r="I345" s="115">
        <f t="shared" si="153"/>
        <v>0</v>
      </c>
      <c r="J345" s="23">
        <f>D345*I345</f>
        <v>0</v>
      </c>
      <c r="K345" s="116">
        <f t="shared" ref="K345" si="155">G344*D344+G345*D345</f>
        <v>0</v>
      </c>
      <c r="L345" s="156">
        <f t="shared" ref="L345" si="156">J344+J345</f>
        <v>0</v>
      </c>
      <c r="M345" s="177"/>
    </row>
    <row r="346" spans="2:13" hidden="1" outlineLevel="1" x14ac:dyDescent="0.2">
      <c r="B346" s="20"/>
      <c r="C346" s="20"/>
      <c r="D346" s="112"/>
      <c r="E346" s="20"/>
      <c r="F346" s="20"/>
      <c r="G346" s="20"/>
      <c r="H346" s="20"/>
      <c r="I346" s="20"/>
      <c r="J346" s="24"/>
      <c r="K346" s="30"/>
      <c r="L346" s="157"/>
      <c r="M346" s="26"/>
    </row>
    <row r="347" spans="2:13" hidden="1" outlineLevel="1" x14ac:dyDescent="0.2">
      <c r="B347" s="19"/>
      <c r="C347" s="20"/>
      <c r="D347" s="112"/>
      <c r="E347" s="19"/>
      <c r="F347" s="19"/>
      <c r="G347" s="19"/>
      <c r="H347" s="19"/>
      <c r="I347" s="19"/>
      <c r="J347" s="25"/>
      <c r="K347" s="26"/>
      <c r="L347" s="103"/>
      <c r="M347" s="26"/>
    </row>
    <row r="348" spans="2:13" hidden="1" outlineLevel="1" x14ac:dyDescent="0.2">
      <c r="B348" s="19"/>
      <c r="C348" s="20"/>
      <c r="D348" s="112"/>
      <c r="E348" s="19"/>
      <c r="F348" s="19"/>
      <c r="G348" s="19"/>
      <c r="H348" s="19"/>
      <c r="I348" s="19"/>
      <c r="J348" s="25"/>
      <c r="K348" s="26"/>
      <c r="L348" s="103"/>
      <c r="M348" s="26"/>
    </row>
    <row r="349" spans="2:13" hidden="1" outlineLevel="1" x14ac:dyDescent="0.2">
      <c r="B349" s="19"/>
      <c r="C349" s="20"/>
      <c r="D349" s="112"/>
      <c r="E349" s="19"/>
      <c r="F349" s="19"/>
      <c r="G349" s="19"/>
      <c r="H349" s="19"/>
      <c r="I349" s="19"/>
      <c r="J349" s="25"/>
      <c r="K349" s="26"/>
      <c r="L349" s="103"/>
      <c r="M349" s="26"/>
    </row>
    <row r="350" spans="2:13" hidden="1" outlineLevel="1" x14ac:dyDescent="0.2">
      <c r="B350" s="19"/>
      <c r="C350" s="20"/>
      <c r="D350" s="112"/>
      <c r="E350" s="19"/>
      <c r="F350" s="19"/>
      <c r="G350" s="19"/>
      <c r="H350" s="19"/>
      <c r="I350" s="19"/>
      <c r="J350" s="25"/>
      <c r="K350" s="26"/>
      <c r="L350" s="103"/>
      <c r="M350" s="26"/>
    </row>
    <row r="351" spans="2:13" ht="15.75" hidden="1" outlineLevel="1" thickBot="1" x14ac:dyDescent="0.25">
      <c r="B351" s="27"/>
      <c r="C351" s="20"/>
      <c r="D351" s="112"/>
      <c r="E351" s="27"/>
      <c r="F351" s="27"/>
      <c r="G351" s="27"/>
      <c r="H351" s="27"/>
      <c r="I351" s="27"/>
      <c r="J351" s="28"/>
      <c r="K351" s="29"/>
      <c r="L351" s="158"/>
      <c r="M351" s="26"/>
    </row>
    <row r="352" spans="2:13" ht="63.75" collapsed="1" x14ac:dyDescent="0.2">
      <c r="B352" s="188">
        <v>24</v>
      </c>
      <c r="C352" s="191"/>
      <c r="D352" s="11" t="s">
        <v>9</v>
      </c>
      <c r="E352" s="12" t="s">
        <v>5</v>
      </c>
      <c r="F352" s="11" t="s">
        <v>6</v>
      </c>
      <c r="G352" s="11" t="s">
        <v>7</v>
      </c>
      <c r="H352" s="11" t="s">
        <v>8</v>
      </c>
      <c r="I352" s="12" t="s">
        <v>19</v>
      </c>
      <c r="J352" s="21" t="s">
        <v>20</v>
      </c>
      <c r="K352" s="32" t="s">
        <v>124</v>
      </c>
      <c r="L352" s="159" t="s">
        <v>125</v>
      </c>
      <c r="M352" s="33" t="s">
        <v>202</v>
      </c>
    </row>
    <row r="353" spans="2:13" ht="15.75" x14ac:dyDescent="0.2">
      <c r="B353" s="189"/>
      <c r="C353" s="192"/>
      <c r="D353" s="111">
        <v>0</v>
      </c>
      <c r="E353" s="14">
        <v>0</v>
      </c>
      <c r="F353" s="14">
        <f t="shared" ref="F353" si="157">IF($D$2*D353&lt;=200,0.33,0.25)</f>
        <v>0.33</v>
      </c>
      <c r="G353" s="14">
        <f t="shared" ref="G353:G354" si="158">E353*F353</f>
        <v>0</v>
      </c>
      <c r="H353" s="15">
        <f t="shared" ref="H353:H354" si="159">IF(($D$2*D353)&gt;40,750,IF(AND(8&lt;=($D$2*D353),($D$2*D353)&lt;=40),850,1000))</f>
        <v>1000</v>
      </c>
      <c r="I353" s="15">
        <f t="shared" ref="I353:I354" si="160">(E353*F353*H353)</f>
        <v>0</v>
      </c>
      <c r="J353" s="22">
        <f>D353*I353</f>
        <v>0</v>
      </c>
      <c r="K353" s="113"/>
      <c r="L353" s="155"/>
      <c r="M353" s="176">
        <f>IFERROR((180/($D$2*D353)),0)</f>
        <v>0</v>
      </c>
    </row>
    <row r="354" spans="2:13" ht="16.5" thickBot="1" x14ac:dyDescent="0.25">
      <c r="B354" s="190"/>
      <c r="C354" s="16"/>
      <c r="D354" s="114">
        <v>0</v>
      </c>
      <c r="E354" s="17"/>
      <c r="F354" s="152">
        <f t="shared" ref="F354" si="161">IF($D$2*D353&lt;=200,0.017,0.0085)</f>
        <v>1.7000000000000001E-2</v>
      </c>
      <c r="G354" s="18">
        <f t="shared" si="158"/>
        <v>0</v>
      </c>
      <c r="H354" s="115">
        <f t="shared" si="159"/>
        <v>1000</v>
      </c>
      <c r="I354" s="115">
        <f t="shared" si="160"/>
        <v>0</v>
      </c>
      <c r="J354" s="23">
        <f>D354*I354</f>
        <v>0</v>
      </c>
      <c r="K354" s="116">
        <f t="shared" ref="K354" si="162">G353*D353+G354*D354</f>
        <v>0</v>
      </c>
      <c r="L354" s="156">
        <f t="shared" ref="L354" si="163">J353+J354</f>
        <v>0</v>
      </c>
      <c r="M354" s="177"/>
    </row>
    <row r="355" spans="2:13" hidden="1" outlineLevel="1" x14ac:dyDescent="0.2">
      <c r="B355" s="20"/>
      <c r="C355" s="20"/>
      <c r="D355" s="112"/>
      <c r="E355" s="20"/>
      <c r="F355" s="20"/>
      <c r="G355" s="20"/>
      <c r="H355" s="20"/>
      <c r="I355" s="20"/>
      <c r="J355" s="24"/>
      <c r="K355" s="30"/>
      <c r="L355" s="157"/>
      <c r="M355" s="26"/>
    </row>
    <row r="356" spans="2:13" hidden="1" outlineLevel="1" x14ac:dyDescent="0.2">
      <c r="B356" s="19"/>
      <c r="C356" s="20"/>
      <c r="D356" s="112"/>
      <c r="E356" s="19"/>
      <c r="F356" s="19"/>
      <c r="G356" s="19"/>
      <c r="H356" s="19"/>
      <c r="I356" s="19"/>
      <c r="J356" s="25"/>
      <c r="K356" s="26"/>
      <c r="L356" s="103"/>
      <c r="M356" s="26"/>
    </row>
    <row r="357" spans="2:13" hidden="1" outlineLevel="1" x14ac:dyDescent="0.2">
      <c r="B357" s="19"/>
      <c r="C357" s="20"/>
      <c r="D357" s="112"/>
      <c r="E357" s="19"/>
      <c r="F357" s="19"/>
      <c r="G357" s="19"/>
      <c r="H357" s="19"/>
      <c r="I357" s="19"/>
      <c r="J357" s="25"/>
      <c r="K357" s="26"/>
      <c r="L357" s="103"/>
      <c r="M357" s="26"/>
    </row>
    <row r="358" spans="2:13" hidden="1" outlineLevel="1" x14ac:dyDescent="0.2">
      <c r="B358" s="19"/>
      <c r="C358" s="20"/>
      <c r="D358" s="112"/>
      <c r="E358" s="19"/>
      <c r="F358" s="19"/>
      <c r="G358" s="19"/>
      <c r="H358" s="19"/>
      <c r="I358" s="19"/>
      <c r="J358" s="25"/>
      <c r="K358" s="26"/>
      <c r="L358" s="103"/>
      <c r="M358" s="26"/>
    </row>
    <row r="359" spans="2:13" hidden="1" outlineLevel="1" x14ac:dyDescent="0.2">
      <c r="B359" s="19"/>
      <c r="C359" s="20"/>
      <c r="D359" s="112"/>
      <c r="E359" s="19"/>
      <c r="F359" s="19"/>
      <c r="G359" s="19"/>
      <c r="H359" s="19"/>
      <c r="I359" s="19"/>
      <c r="J359" s="25"/>
      <c r="K359" s="26"/>
      <c r="L359" s="103"/>
      <c r="M359" s="26"/>
    </row>
    <row r="360" spans="2:13" ht="15.75" hidden="1" outlineLevel="1" thickBot="1" x14ac:dyDescent="0.25">
      <c r="B360" s="27"/>
      <c r="C360" s="20"/>
      <c r="D360" s="112"/>
      <c r="E360" s="27"/>
      <c r="F360" s="27"/>
      <c r="G360" s="27"/>
      <c r="H360" s="27"/>
      <c r="I360" s="27"/>
      <c r="J360" s="28"/>
      <c r="K360" s="29"/>
      <c r="L360" s="158"/>
      <c r="M360" s="26"/>
    </row>
    <row r="361" spans="2:13" ht="63.75" collapsed="1" x14ac:dyDescent="0.2">
      <c r="B361" s="188">
        <v>25</v>
      </c>
      <c r="C361" s="191"/>
      <c r="D361" s="11" t="s">
        <v>9</v>
      </c>
      <c r="E361" s="12" t="s">
        <v>5</v>
      </c>
      <c r="F361" s="11" t="s">
        <v>6</v>
      </c>
      <c r="G361" s="11" t="s">
        <v>7</v>
      </c>
      <c r="H361" s="11" t="s">
        <v>8</v>
      </c>
      <c r="I361" s="12" t="s">
        <v>19</v>
      </c>
      <c r="J361" s="21" t="s">
        <v>20</v>
      </c>
      <c r="K361" s="32" t="s">
        <v>124</v>
      </c>
      <c r="L361" s="159" t="s">
        <v>125</v>
      </c>
      <c r="M361" s="33" t="s">
        <v>202</v>
      </c>
    </row>
    <row r="362" spans="2:13" ht="15.75" x14ac:dyDescent="0.2">
      <c r="B362" s="189"/>
      <c r="C362" s="192"/>
      <c r="D362" s="111">
        <v>0</v>
      </c>
      <c r="E362" s="14">
        <v>0</v>
      </c>
      <c r="F362" s="14">
        <f t="shared" ref="F362" si="164">IF($D$2*D362&lt;=200,0.33,0.25)</f>
        <v>0.33</v>
      </c>
      <c r="G362" s="14">
        <f t="shared" ref="G362:G363" si="165">E362*F362</f>
        <v>0</v>
      </c>
      <c r="H362" s="15">
        <f t="shared" ref="H362:H363" si="166">IF(($D$2*D362)&gt;40,750,IF(AND(8&lt;=($D$2*D362),($D$2*D362)&lt;=40),850,1000))</f>
        <v>1000</v>
      </c>
      <c r="I362" s="15">
        <f t="shared" ref="I362:I363" si="167">(E362*F362*H362)</f>
        <v>0</v>
      </c>
      <c r="J362" s="22">
        <f>D362*I362</f>
        <v>0</v>
      </c>
      <c r="K362" s="113"/>
      <c r="L362" s="155"/>
      <c r="M362" s="176">
        <f>IFERROR((180/($D$2*D362)),0)</f>
        <v>0</v>
      </c>
    </row>
    <row r="363" spans="2:13" ht="16.5" thickBot="1" x14ac:dyDescent="0.25">
      <c r="B363" s="190"/>
      <c r="C363" s="16"/>
      <c r="D363" s="114">
        <v>0</v>
      </c>
      <c r="E363" s="17"/>
      <c r="F363" s="152">
        <f t="shared" ref="F363" si="168">IF($D$2*D362&lt;=200,0.017,0.0085)</f>
        <v>1.7000000000000001E-2</v>
      </c>
      <c r="G363" s="18">
        <f t="shared" si="165"/>
        <v>0</v>
      </c>
      <c r="H363" s="115">
        <f t="shared" si="166"/>
        <v>1000</v>
      </c>
      <c r="I363" s="115">
        <f t="shared" si="167"/>
        <v>0</v>
      </c>
      <c r="J363" s="23">
        <f>D363*I363</f>
        <v>0</v>
      </c>
      <c r="K363" s="116">
        <f t="shared" ref="K363" si="169">G362*D362+G363*D363</f>
        <v>0</v>
      </c>
      <c r="L363" s="156">
        <f t="shared" ref="L363" si="170">J362+J363</f>
        <v>0</v>
      </c>
      <c r="M363" s="177"/>
    </row>
    <row r="364" spans="2:13" hidden="1" outlineLevel="1" x14ac:dyDescent="0.2">
      <c r="B364" s="20"/>
      <c r="C364" s="20"/>
      <c r="D364" s="112"/>
      <c r="E364" s="20"/>
      <c r="F364" s="20"/>
      <c r="G364" s="20"/>
      <c r="H364" s="20"/>
      <c r="I364" s="20"/>
      <c r="J364" s="24"/>
      <c r="K364" s="30"/>
      <c r="L364" s="157"/>
      <c r="M364" s="26"/>
    </row>
    <row r="365" spans="2:13" hidden="1" outlineLevel="1" x14ac:dyDescent="0.2">
      <c r="B365" s="19"/>
      <c r="C365" s="20"/>
      <c r="D365" s="112"/>
      <c r="E365" s="19"/>
      <c r="F365" s="19"/>
      <c r="G365" s="19"/>
      <c r="H365" s="19"/>
      <c r="I365" s="19"/>
      <c r="J365" s="25"/>
      <c r="K365" s="26"/>
      <c r="L365" s="103"/>
      <c r="M365" s="26"/>
    </row>
    <row r="366" spans="2:13" hidden="1" outlineLevel="1" x14ac:dyDescent="0.2">
      <c r="B366" s="19"/>
      <c r="C366" s="20"/>
      <c r="D366" s="112"/>
      <c r="E366" s="19"/>
      <c r="F366" s="19"/>
      <c r="G366" s="19"/>
      <c r="H366" s="19"/>
      <c r="I366" s="19"/>
      <c r="J366" s="25"/>
      <c r="K366" s="26"/>
      <c r="L366" s="103"/>
      <c r="M366" s="26"/>
    </row>
    <row r="367" spans="2:13" hidden="1" outlineLevel="1" x14ac:dyDescent="0.2">
      <c r="B367" s="19"/>
      <c r="C367" s="20"/>
      <c r="D367" s="112"/>
      <c r="E367" s="19"/>
      <c r="F367" s="19"/>
      <c r="G367" s="19"/>
      <c r="H367" s="19"/>
      <c r="I367" s="19"/>
      <c r="J367" s="25"/>
      <c r="K367" s="26"/>
      <c r="L367" s="103"/>
      <c r="M367" s="26"/>
    </row>
    <row r="368" spans="2:13" hidden="1" outlineLevel="1" x14ac:dyDescent="0.2">
      <c r="B368" s="19"/>
      <c r="C368" s="20"/>
      <c r="D368" s="112"/>
      <c r="E368" s="19"/>
      <c r="F368" s="19"/>
      <c r="G368" s="19"/>
      <c r="H368" s="19"/>
      <c r="I368" s="19"/>
      <c r="J368" s="25"/>
      <c r="K368" s="26"/>
      <c r="L368" s="103"/>
      <c r="M368" s="26"/>
    </row>
    <row r="369" spans="2:13" ht="15.75" hidden="1" outlineLevel="1" thickBot="1" x14ac:dyDescent="0.25">
      <c r="B369" s="27"/>
      <c r="C369" s="20"/>
      <c r="D369" s="112"/>
      <c r="E369" s="27"/>
      <c r="F369" s="27"/>
      <c r="G369" s="27"/>
      <c r="H369" s="27"/>
      <c r="I369" s="27"/>
      <c r="J369" s="28"/>
      <c r="K369" s="29"/>
      <c r="L369" s="158"/>
      <c r="M369" s="26"/>
    </row>
    <row r="370" spans="2:13" ht="63.75" collapsed="1" x14ac:dyDescent="0.2">
      <c r="B370" s="188">
        <v>26</v>
      </c>
      <c r="C370" s="191"/>
      <c r="D370" s="11" t="s">
        <v>9</v>
      </c>
      <c r="E370" s="12" t="s">
        <v>5</v>
      </c>
      <c r="F370" s="11" t="s">
        <v>6</v>
      </c>
      <c r="G370" s="11" t="s">
        <v>7</v>
      </c>
      <c r="H370" s="11" t="s">
        <v>8</v>
      </c>
      <c r="I370" s="12" t="s">
        <v>19</v>
      </c>
      <c r="J370" s="21" t="s">
        <v>20</v>
      </c>
      <c r="K370" s="32" t="s">
        <v>124</v>
      </c>
      <c r="L370" s="159" t="s">
        <v>125</v>
      </c>
      <c r="M370" s="33" t="s">
        <v>202</v>
      </c>
    </row>
    <row r="371" spans="2:13" ht="15.75" x14ac:dyDescent="0.2">
      <c r="B371" s="189"/>
      <c r="C371" s="192"/>
      <c r="D371" s="111">
        <v>0</v>
      </c>
      <c r="E371" s="14">
        <v>0</v>
      </c>
      <c r="F371" s="14">
        <f t="shared" ref="F371" si="171">IF($D$2*D371&lt;=200,0.33,0.25)</f>
        <v>0.33</v>
      </c>
      <c r="G371" s="14">
        <f t="shared" ref="G371:G372" si="172">E371*F371</f>
        <v>0</v>
      </c>
      <c r="H371" s="15">
        <f t="shared" ref="H371:H372" si="173">IF(($D$2*D371)&gt;40,750,IF(AND(8&lt;=($D$2*D371),($D$2*D371)&lt;=40),850,1000))</f>
        <v>1000</v>
      </c>
      <c r="I371" s="15">
        <f t="shared" ref="I371:I372" si="174">(E371*F371*H371)</f>
        <v>0</v>
      </c>
      <c r="J371" s="22">
        <f>D371*I371</f>
        <v>0</v>
      </c>
      <c r="K371" s="113"/>
      <c r="L371" s="155"/>
      <c r="M371" s="176">
        <f>IFERROR((180/($D$2*D371)),0)</f>
        <v>0</v>
      </c>
    </row>
    <row r="372" spans="2:13" ht="16.5" thickBot="1" x14ac:dyDescent="0.25">
      <c r="B372" s="190"/>
      <c r="C372" s="16"/>
      <c r="D372" s="114">
        <v>0</v>
      </c>
      <c r="E372" s="17"/>
      <c r="F372" s="152">
        <f t="shared" ref="F372" si="175">IF($D$2*D371&lt;=200,0.017,0.0085)</f>
        <v>1.7000000000000001E-2</v>
      </c>
      <c r="G372" s="18">
        <f t="shared" si="172"/>
        <v>0</v>
      </c>
      <c r="H372" s="115">
        <f t="shared" si="173"/>
        <v>1000</v>
      </c>
      <c r="I372" s="115">
        <f t="shared" si="174"/>
        <v>0</v>
      </c>
      <c r="J372" s="23">
        <f>D372*I372</f>
        <v>0</v>
      </c>
      <c r="K372" s="116">
        <f t="shared" ref="K372" si="176">G371*D371+G372*D372</f>
        <v>0</v>
      </c>
      <c r="L372" s="156">
        <f t="shared" ref="L372" si="177">J371+J372</f>
        <v>0</v>
      </c>
      <c r="M372" s="177"/>
    </row>
    <row r="373" spans="2:13" hidden="1" outlineLevel="1" x14ac:dyDescent="0.2">
      <c r="B373" s="20"/>
      <c r="C373" s="20"/>
      <c r="D373" s="112"/>
      <c r="E373" s="20"/>
      <c r="F373" s="20"/>
      <c r="G373" s="20"/>
      <c r="H373" s="20"/>
      <c r="I373" s="20"/>
      <c r="J373" s="24"/>
      <c r="K373" s="30"/>
      <c r="L373" s="157"/>
      <c r="M373" s="26"/>
    </row>
    <row r="374" spans="2:13" hidden="1" outlineLevel="1" x14ac:dyDescent="0.2">
      <c r="B374" s="19"/>
      <c r="C374" s="20"/>
      <c r="D374" s="112"/>
      <c r="E374" s="19"/>
      <c r="F374" s="19"/>
      <c r="G374" s="19"/>
      <c r="H374" s="19"/>
      <c r="I374" s="19"/>
      <c r="J374" s="25"/>
      <c r="K374" s="26"/>
      <c r="L374" s="103"/>
      <c r="M374" s="26"/>
    </row>
    <row r="375" spans="2:13" hidden="1" outlineLevel="1" x14ac:dyDescent="0.2">
      <c r="B375" s="19"/>
      <c r="C375" s="20"/>
      <c r="D375" s="112"/>
      <c r="E375" s="19"/>
      <c r="F375" s="19"/>
      <c r="G375" s="19"/>
      <c r="H375" s="19"/>
      <c r="I375" s="19"/>
      <c r="J375" s="25"/>
      <c r="K375" s="26"/>
      <c r="L375" s="103"/>
      <c r="M375" s="26"/>
    </row>
    <row r="376" spans="2:13" hidden="1" outlineLevel="1" x14ac:dyDescent="0.2">
      <c r="B376" s="19"/>
      <c r="C376" s="20"/>
      <c r="D376" s="112"/>
      <c r="E376" s="19"/>
      <c r="F376" s="19"/>
      <c r="G376" s="19"/>
      <c r="H376" s="19"/>
      <c r="I376" s="19"/>
      <c r="J376" s="25"/>
      <c r="K376" s="26"/>
      <c r="L376" s="103"/>
      <c r="M376" s="26"/>
    </row>
    <row r="377" spans="2:13" hidden="1" outlineLevel="1" x14ac:dyDescent="0.2">
      <c r="B377" s="19"/>
      <c r="C377" s="20"/>
      <c r="D377" s="112"/>
      <c r="E377" s="19"/>
      <c r="F377" s="19"/>
      <c r="G377" s="19"/>
      <c r="H377" s="19"/>
      <c r="I377" s="19"/>
      <c r="J377" s="25"/>
      <c r="K377" s="26"/>
      <c r="L377" s="103"/>
      <c r="M377" s="26"/>
    </row>
    <row r="378" spans="2:13" ht="15.75" hidden="1" outlineLevel="1" thickBot="1" x14ac:dyDescent="0.25">
      <c r="B378" s="27"/>
      <c r="C378" s="20"/>
      <c r="D378" s="112"/>
      <c r="E378" s="27"/>
      <c r="F378" s="27"/>
      <c r="G378" s="27"/>
      <c r="H378" s="27"/>
      <c r="I378" s="27"/>
      <c r="J378" s="28"/>
      <c r="K378" s="29"/>
      <c r="L378" s="158"/>
      <c r="M378" s="26"/>
    </row>
    <row r="379" spans="2:13" ht="63.75" collapsed="1" x14ac:dyDescent="0.2">
      <c r="B379" s="188">
        <v>27</v>
      </c>
      <c r="C379" s="191"/>
      <c r="D379" s="11" t="s">
        <v>9</v>
      </c>
      <c r="E379" s="12" t="s">
        <v>5</v>
      </c>
      <c r="F379" s="11" t="s">
        <v>6</v>
      </c>
      <c r="G379" s="11" t="s">
        <v>7</v>
      </c>
      <c r="H379" s="11" t="s">
        <v>8</v>
      </c>
      <c r="I379" s="12" t="s">
        <v>19</v>
      </c>
      <c r="J379" s="21" t="s">
        <v>20</v>
      </c>
      <c r="K379" s="32" t="s">
        <v>124</v>
      </c>
      <c r="L379" s="159" t="s">
        <v>125</v>
      </c>
      <c r="M379" s="33" t="s">
        <v>202</v>
      </c>
    </row>
    <row r="380" spans="2:13" ht="15.75" x14ac:dyDescent="0.2">
      <c r="B380" s="189"/>
      <c r="C380" s="192"/>
      <c r="D380" s="111">
        <v>0</v>
      </c>
      <c r="E380" s="14">
        <v>0</v>
      </c>
      <c r="F380" s="14">
        <f t="shared" ref="F380" si="178">IF($D$2*D380&lt;=200,0.33,0.25)</f>
        <v>0.33</v>
      </c>
      <c r="G380" s="14">
        <f t="shared" ref="G380:G381" si="179">E380*F380</f>
        <v>0</v>
      </c>
      <c r="H380" s="15">
        <f t="shared" ref="H380:H381" si="180">IF(($D$2*D380)&gt;40,750,IF(AND(8&lt;=($D$2*D380),($D$2*D380)&lt;=40),850,1000))</f>
        <v>1000</v>
      </c>
      <c r="I380" s="15">
        <f t="shared" ref="I380:I381" si="181">(E380*F380*H380)</f>
        <v>0</v>
      </c>
      <c r="J380" s="22">
        <f>D380*I380</f>
        <v>0</v>
      </c>
      <c r="K380" s="113"/>
      <c r="L380" s="155"/>
      <c r="M380" s="176">
        <f>IFERROR((180/($D$2*D380)),0)</f>
        <v>0</v>
      </c>
    </row>
    <row r="381" spans="2:13" ht="16.5" thickBot="1" x14ac:dyDescent="0.25">
      <c r="B381" s="190"/>
      <c r="C381" s="16"/>
      <c r="D381" s="114">
        <v>0</v>
      </c>
      <c r="E381" s="17"/>
      <c r="F381" s="152">
        <f t="shared" ref="F381" si="182">IF($D$2*D380&lt;=200,0.017,0.0085)</f>
        <v>1.7000000000000001E-2</v>
      </c>
      <c r="G381" s="18">
        <f t="shared" si="179"/>
        <v>0</v>
      </c>
      <c r="H381" s="115">
        <f t="shared" si="180"/>
        <v>1000</v>
      </c>
      <c r="I381" s="115">
        <f t="shared" si="181"/>
        <v>0</v>
      </c>
      <c r="J381" s="23">
        <f>D381*I381</f>
        <v>0</v>
      </c>
      <c r="K381" s="116">
        <f t="shared" ref="K381" si="183">G380*D380+G381*D381</f>
        <v>0</v>
      </c>
      <c r="L381" s="156">
        <f t="shared" ref="L381" si="184">J380+J381</f>
        <v>0</v>
      </c>
      <c r="M381" s="177"/>
    </row>
    <row r="382" spans="2:13" hidden="1" outlineLevel="1" x14ac:dyDescent="0.2">
      <c r="B382" s="20"/>
      <c r="C382" s="20"/>
      <c r="D382" s="112"/>
      <c r="E382" s="20"/>
      <c r="F382" s="20"/>
      <c r="G382" s="20"/>
      <c r="H382" s="20"/>
      <c r="I382" s="20"/>
      <c r="J382" s="24"/>
      <c r="K382" s="30"/>
      <c r="L382" s="157"/>
      <c r="M382" s="26"/>
    </row>
    <row r="383" spans="2:13" hidden="1" outlineLevel="1" x14ac:dyDescent="0.2">
      <c r="B383" s="19"/>
      <c r="C383" s="20"/>
      <c r="D383" s="112"/>
      <c r="E383" s="19"/>
      <c r="F383" s="19"/>
      <c r="G383" s="19"/>
      <c r="H383" s="19"/>
      <c r="I383" s="19"/>
      <c r="J383" s="25"/>
      <c r="K383" s="26"/>
      <c r="L383" s="103"/>
      <c r="M383" s="26"/>
    </row>
    <row r="384" spans="2:13" hidden="1" outlineLevel="1" x14ac:dyDescent="0.2">
      <c r="B384" s="19"/>
      <c r="C384" s="20"/>
      <c r="D384" s="112"/>
      <c r="E384" s="19"/>
      <c r="F384" s="19"/>
      <c r="G384" s="19"/>
      <c r="H384" s="19"/>
      <c r="I384" s="19"/>
      <c r="J384" s="25"/>
      <c r="K384" s="26"/>
      <c r="L384" s="103"/>
      <c r="M384" s="26"/>
    </row>
    <row r="385" spans="2:13" hidden="1" outlineLevel="1" x14ac:dyDescent="0.2">
      <c r="B385" s="19"/>
      <c r="C385" s="20"/>
      <c r="D385" s="112"/>
      <c r="E385" s="19"/>
      <c r="F385" s="19"/>
      <c r="G385" s="19"/>
      <c r="H385" s="19"/>
      <c r="I385" s="19"/>
      <c r="J385" s="25"/>
      <c r="K385" s="26"/>
      <c r="L385" s="103"/>
      <c r="M385" s="26"/>
    </row>
    <row r="386" spans="2:13" hidden="1" outlineLevel="1" x14ac:dyDescent="0.2">
      <c r="B386" s="19"/>
      <c r="C386" s="20"/>
      <c r="D386" s="112"/>
      <c r="E386" s="19"/>
      <c r="F386" s="19"/>
      <c r="G386" s="19"/>
      <c r="H386" s="19"/>
      <c r="I386" s="19"/>
      <c r="J386" s="25"/>
      <c r="K386" s="26"/>
      <c r="L386" s="103"/>
      <c r="M386" s="26"/>
    </row>
    <row r="387" spans="2:13" ht="15.75" hidden="1" outlineLevel="1" thickBot="1" x14ac:dyDescent="0.25">
      <c r="B387" s="27"/>
      <c r="C387" s="20"/>
      <c r="D387" s="112"/>
      <c r="E387" s="27"/>
      <c r="F387" s="27"/>
      <c r="G387" s="27"/>
      <c r="H387" s="27"/>
      <c r="I387" s="27"/>
      <c r="J387" s="28"/>
      <c r="K387" s="29"/>
      <c r="L387" s="158"/>
      <c r="M387" s="26"/>
    </row>
    <row r="388" spans="2:13" ht="63.75" collapsed="1" x14ac:dyDescent="0.2">
      <c r="B388" s="188">
        <v>28</v>
      </c>
      <c r="C388" s="191"/>
      <c r="D388" s="11" t="s">
        <v>9</v>
      </c>
      <c r="E388" s="12" t="s">
        <v>5</v>
      </c>
      <c r="F388" s="11" t="s">
        <v>6</v>
      </c>
      <c r="G388" s="11" t="s">
        <v>7</v>
      </c>
      <c r="H388" s="11" t="s">
        <v>8</v>
      </c>
      <c r="I388" s="12" t="s">
        <v>19</v>
      </c>
      <c r="J388" s="21" t="s">
        <v>20</v>
      </c>
      <c r="K388" s="32" t="s">
        <v>124</v>
      </c>
      <c r="L388" s="159" t="s">
        <v>125</v>
      </c>
      <c r="M388" s="33" t="s">
        <v>202</v>
      </c>
    </row>
    <row r="389" spans="2:13" ht="15.75" x14ac:dyDescent="0.2">
      <c r="B389" s="189"/>
      <c r="C389" s="192"/>
      <c r="D389" s="111">
        <v>0</v>
      </c>
      <c r="E389" s="14">
        <v>0</v>
      </c>
      <c r="F389" s="14">
        <f t="shared" ref="F389" si="185">IF($D$2*D389&lt;=200,0.33,0.25)</f>
        <v>0.33</v>
      </c>
      <c r="G389" s="14">
        <f t="shared" ref="G389:G390" si="186">E389*F389</f>
        <v>0</v>
      </c>
      <c r="H389" s="15">
        <f t="shared" ref="H389:H390" si="187">IF(($D$2*D389)&gt;40,750,IF(AND(8&lt;=($D$2*D389),($D$2*D389)&lt;=40),850,1000))</f>
        <v>1000</v>
      </c>
      <c r="I389" s="15">
        <f t="shared" ref="I389:I390" si="188">(E389*F389*H389)</f>
        <v>0</v>
      </c>
      <c r="J389" s="22">
        <f>D389*I389</f>
        <v>0</v>
      </c>
      <c r="K389" s="113"/>
      <c r="L389" s="155"/>
      <c r="M389" s="176">
        <f>IFERROR((180/($D$2*D389)),0)</f>
        <v>0</v>
      </c>
    </row>
    <row r="390" spans="2:13" ht="16.5" thickBot="1" x14ac:dyDescent="0.25">
      <c r="B390" s="190"/>
      <c r="C390" s="16"/>
      <c r="D390" s="114">
        <v>0</v>
      </c>
      <c r="E390" s="17"/>
      <c r="F390" s="152">
        <f t="shared" ref="F390" si="189">IF($D$2*D389&lt;=200,0.017,0.0085)</f>
        <v>1.7000000000000001E-2</v>
      </c>
      <c r="G390" s="18">
        <f t="shared" si="186"/>
        <v>0</v>
      </c>
      <c r="H390" s="115">
        <f t="shared" si="187"/>
        <v>1000</v>
      </c>
      <c r="I390" s="115">
        <f t="shared" si="188"/>
        <v>0</v>
      </c>
      <c r="J390" s="23">
        <f>D390*I390</f>
        <v>0</v>
      </c>
      <c r="K390" s="116">
        <f t="shared" ref="K390" si="190">G389*D389+G390*D390</f>
        <v>0</v>
      </c>
      <c r="L390" s="156">
        <f t="shared" ref="L390" si="191">J389+J390</f>
        <v>0</v>
      </c>
      <c r="M390" s="177"/>
    </row>
    <row r="391" spans="2:13" hidden="1" outlineLevel="1" x14ac:dyDescent="0.2">
      <c r="B391" s="20"/>
      <c r="C391" s="20"/>
      <c r="D391" s="112"/>
      <c r="E391" s="20"/>
      <c r="F391" s="20"/>
      <c r="G391" s="20"/>
      <c r="H391" s="20"/>
      <c r="I391" s="20"/>
      <c r="J391" s="24"/>
      <c r="K391" s="30"/>
      <c r="L391" s="157"/>
      <c r="M391" s="26"/>
    </row>
    <row r="392" spans="2:13" hidden="1" outlineLevel="1" x14ac:dyDescent="0.2">
      <c r="B392" s="19"/>
      <c r="C392" s="20"/>
      <c r="D392" s="112"/>
      <c r="E392" s="19"/>
      <c r="F392" s="19"/>
      <c r="G392" s="19"/>
      <c r="H392" s="19"/>
      <c r="I392" s="19"/>
      <c r="J392" s="25"/>
      <c r="K392" s="26"/>
      <c r="L392" s="103"/>
      <c r="M392" s="26"/>
    </row>
    <row r="393" spans="2:13" hidden="1" outlineLevel="1" x14ac:dyDescent="0.2">
      <c r="B393" s="19"/>
      <c r="C393" s="20"/>
      <c r="D393" s="112"/>
      <c r="E393" s="19"/>
      <c r="F393" s="19"/>
      <c r="G393" s="19"/>
      <c r="H393" s="19"/>
      <c r="I393" s="19"/>
      <c r="J393" s="25"/>
      <c r="K393" s="26"/>
      <c r="L393" s="103"/>
      <c r="M393" s="26"/>
    </row>
    <row r="394" spans="2:13" hidden="1" outlineLevel="1" x14ac:dyDescent="0.2">
      <c r="B394" s="19"/>
      <c r="C394" s="20"/>
      <c r="D394" s="112"/>
      <c r="E394" s="19"/>
      <c r="F394" s="19"/>
      <c r="G394" s="19"/>
      <c r="H394" s="19"/>
      <c r="I394" s="19"/>
      <c r="J394" s="25"/>
      <c r="K394" s="26"/>
      <c r="L394" s="103"/>
      <c r="M394" s="26"/>
    </row>
    <row r="395" spans="2:13" hidden="1" outlineLevel="1" x14ac:dyDescent="0.2">
      <c r="B395" s="19"/>
      <c r="C395" s="20"/>
      <c r="D395" s="112"/>
      <c r="E395" s="19"/>
      <c r="F395" s="19"/>
      <c r="G395" s="19"/>
      <c r="H395" s="19"/>
      <c r="I395" s="19"/>
      <c r="J395" s="25"/>
      <c r="K395" s="26"/>
      <c r="L395" s="103"/>
      <c r="M395" s="26"/>
    </row>
    <row r="396" spans="2:13" ht="15.75" hidden="1" outlineLevel="1" thickBot="1" x14ac:dyDescent="0.25">
      <c r="B396" s="27"/>
      <c r="C396" s="20"/>
      <c r="D396" s="112"/>
      <c r="E396" s="27"/>
      <c r="F396" s="27"/>
      <c r="G396" s="27"/>
      <c r="H396" s="27"/>
      <c r="I396" s="27"/>
      <c r="J396" s="28"/>
      <c r="K396" s="29"/>
      <c r="L396" s="158"/>
      <c r="M396" s="26"/>
    </row>
    <row r="397" spans="2:13" ht="63.75" collapsed="1" x14ac:dyDescent="0.2">
      <c r="B397" s="188">
        <v>29</v>
      </c>
      <c r="C397" s="191"/>
      <c r="D397" s="11" t="s">
        <v>9</v>
      </c>
      <c r="E397" s="12" t="s">
        <v>5</v>
      </c>
      <c r="F397" s="11" t="s">
        <v>6</v>
      </c>
      <c r="G397" s="11" t="s">
        <v>7</v>
      </c>
      <c r="H397" s="11" t="s">
        <v>8</v>
      </c>
      <c r="I397" s="12" t="s">
        <v>19</v>
      </c>
      <c r="J397" s="21" t="s">
        <v>20</v>
      </c>
      <c r="K397" s="32" t="s">
        <v>124</v>
      </c>
      <c r="L397" s="159" t="s">
        <v>125</v>
      </c>
      <c r="M397" s="33" t="s">
        <v>202</v>
      </c>
    </row>
    <row r="398" spans="2:13" ht="15.75" x14ac:dyDescent="0.2">
      <c r="B398" s="189"/>
      <c r="C398" s="192"/>
      <c r="D398" s="111">
        <v>0</v>
      </c>
      <c r="E398" s="14">
        <v>0</v>
      </c>
      <c r="F398" s="14">
        <f t="shared" ref="F398" si="192">IF($D$2*D398&lt;=200,0.33,0.25)</f>
        <v>0.33</v>
      </c>
      <c r="G398" s="14">
        <f t="shared" ref="G398:G399" si="193">E398*F398</f>
        <v>0</v>
      </c>
      <c r="H398" s="15">
        <f t="shared" ref="H398:H399" si="194">IF(($D$2*D398)&gt;40,750,IF(AND(8&lt;=($D$2*D398),($D$2*D398)&lt;=40),850,1000))</f>
        <v>1000</v>
      </c>
      <c r="I398" s="15">
        <f t="shared" ref="I398:I399" si="195">(E398*F398*H398)</f>
        <v>0</v>
      </c>
      <c r="J398" s="22">
        <f>D398*I398</f>
        <v>0</v>
      </c>
      <c r="K398" s="113"/>
      <c r="L398" s="155"/>
      <c r="M398" s="176">
        <f>IFERROR((180/($D$2*D398)),0)</f>
        <v>0</v>
      </c>
    </row>
    <row r="399" spans="2:13" ht="16.5" thickBot="1" x14ac:dyDescent="0.25">
      <c r="B399" s="190"/>
      <c r="C399" s="16"/>
      <c r="D399" s="114">
        <v>0</v>
      </c>
      <c r="E399" s="17"/>
      <c r="F399" s="152">
        <f t="shared" ref="F399" si="196">IF($D$2*D398&lt;=200,0.017,0.0085)</f>
        <v>1.7000000000000001E-2</v>
      </c>
      <c r="G399" s="18">
        <f t="shared" si="193"/>
        <v>0</v>
      </c>
      <c r="H399" s="115">
        <f t="shared" si="194"/>
        <v>1000</v>
      </c>
      <c r="I399" s="115">
        <f t="shared" si="195"/>
        <v>0</v>
      </c>
      <c r="J399" s="23">
        <f>D399*I399</f>
        <v>0</v>
      </c>
      <c r="K399" s="116">
        <f t="shared" ref="K399" si="197">G398*D398+G399*D399</f>
        <v>0</v>
      </c>
      <c r="L399" s="156">
        <f t="shared" ref="L399" si="198">J398+J399</f>
        <v>0</v>
      </c>
      <c r="M399" s="177"/>
    </row>
    <row r="400" spans="2:13" hidden="1" outlineLevel="1" x14ac:dyDescent="0.2">
      <c r="B400" s="20"/>
      <c r="C400" s="20"/>
      <c r="D400" s="112"/>
      <c r="E400" s="20"/>
      <c r="F400" s="20"/>
      <c r="G400" s="20"/>
      <c r="H400" s="20"/>
      <c r="I400" s="20"/>
      <c r="J400" s="24"/>
      <c r="K400" s="30"/>
      <c r="L400" s="157"/>
      <c r="M400" s="26"/>
    </row>
    <row r="401" spans="2:13" hidden="1" outlineLevel="1" x14ac:dyDescent="0.2">
      <c r="B401" s="19"/>
      <c r="C401" s="20"/>
      <c r="D401" s="112"/>
      <c r="E401" s="19"/>
      <c r="F401" s="19"/>
      <c r="G401" s="19"/>
      <c r="H401" s="19"/>
      <c r="I401" s="19"/>
      <c r="J401" s="25"/>
      <c r="K401" s="26"/>
      <c r="L401" s="103"/>
      <c r="M401" s="26"/>
    </row>
    <row r="402" spans="2:13" hidden="1" outlineLevel="1" x14ac:dyDescent="0.2">
      <c r="B402" s="19"/>
      <c r="C402" s="20"/>
      <c r="D402" s="112"/>
      <c r="E402" s="19"/>
      <c r="F402" s="19"/>
      <c r="G402" s="19"/>
      <c r="H402" s="19"/>
      <c r="I402" s="19"/>
      <c r="J402" s="25"/>
      <c r="K402" s="26"/>
      <c r="L402" s="103"/>
      <c r="M402" s="26"/>
    </row>
    <row r="403" spans="2:13" hidden="1" outlineLevel="1" x14ac:dyDescent="0.2">
      <c r="B403" s="19"/>
      <c r="C403" s="20"/>
      <c r="D403" s="112"/>
      <c r="E403" s="19"/>
      <c r="F403" s="19"/>
      <c r="G403" s="19"/>
      <c r="H403" s="19"/>
      <c r="I403" s="19"/>
      <c r="J403" s="25"/>
      <c r="K403" s="26"/>
      <c r="L403" s="103"/>
      <c r="M403" s="26"/>
    </row>
    <row r="404" spans="2:13" hidden="1" outlineLevel="1" x14ac:dyDescent="0.2">
      <c r="B404" s="19"/>
      <c r="C404" s="20"/>
      <c r="D404" s="112"/>
      <c r="E404" s="19"/>
      <c r="F404" s="19"/>
      <c r="G404" s="19"/>
      <c r="H404" s="19"/>
      <c r="I404" s="19"/>
      <c r="J404" s="25"/>
      <c r="K404" s="26"/>
      <c r="L404" s="103"/>
      <c r="M404" s="26"/>
    </row>
    <row r="405" spans="2:13" ht="15.75" hidden="1" outlineLevel="1" thickBot="1" x14ac:dyDescent="0.25">
      <c r="B405" s="27"/>
      <c r="C405" s="20"/>
      <c r="D405" s="112"/>
      <c r="E405" s="27"/>
      <c r="F405" s="27"/>
      <c r="G405" s="27"/>
      <c r="H405" s="27"/>
      <c r="I405" s="27"/>
      <c r="J405" s="28"/>
      <c r="K405" s="29"/>
      <c r="L405" s="158"/>
      <c r="M405" s="26"/>
    </row>
    <row r="406" spans="2:13" ht="63.75" collapsed="1" x14ac:dyDescent="0.2">
      <c r="B406" s="188">
        <v>30</v>
      </c>
      <c r="C406" s="191"/>
      <c r="D406" s="11" t="s">
        <v>9</v>
      </c>
      <c r="E406" s="12" t="s">
        <v>5</v>
      </c>
      <c r="F406" s="11" t="s">
        <v>6</v>
      </c>
      <c r="G406" s="11" t="s">
        <v>7</v>
      </c>
      <c r="H406" s="11" t="s">
        <v>8</v>
      </c>
      <c r="I406" s="12" t="s">
        <v>19</v>
      </c>
      <c r="J406" s="21" t="s">
        <v>20</v>
      </c>
      <c r="K406" s="32" t="s">
        <v>124</v>
      </c>
      <c r="L406" s="159" t="s">
        <v>125</v>
      </c>
      <c r="M406" s="33" t="s">
        <v>202</v>
      </c>
    </row>
    <row r="407" spans="2:13" ht="15.75" x14ac:dyDescent="0.2">
      <c r="B407" s="189"/>
      <c r="C407" s="192"/>
      <c r="D407" s="111">
        <v>0</v>
      </c>
      <c r="E407" s="14">
        <v>0</v>
      </c>
      <c r="F407" s="14">
        <f t="shared" ref="F407" si="199">IF($D$2*D407&lt;=200,0.33,0.25)</f>
        <v>0.33</v>
      </c>
      <c r="G407" s="14">
        <f t="shared" ref="G407:G408" si="200">E407*F407</f>
        <v>0</v>
      </c>
      <c r="H407" s="15">
        <f t="shared" ref="H407:H408" si="201">IF(($D$2*D407)&gt;40,750,IF(AND(8&lt;=($D$2*D407),($D$2*D407)&lt;=40),850,1000))</f>
        <v>1000</v>
      </c>
      <c r="I407" s="15">
        <f t="shared" ref="I407:I408" si="202">(E407*F407*H407)</f>
        <v>0</v>
      </c>
      <c r="J407" s="22">
        <f>D407*I407</f>
        <v>0</v>
      </c>
      <c r="K407" s="113"/>
      <c r="L407" s="155"/>
      <c r="M407" s="176">
        <f>IFERROR((180/($D$2*D407)),0)</f>
        <v>0</v>
      </c>
    </row>
    <row r="408" spans="2:13" ht="16.5" thickBot="1" x14ac:dyDescent="0.25">
      <c r="B408" s="190"/>
      <c r="C408" s="16"/>
      <c r="D408" s="114">
        <v>0</v>
      </c>
      <c r="E408" s="17"/>
      <c r="F408" s="152">
        <f t="shared" ref="F408" si="203">IF($D$2*D407&lt;=200,0.017,0.0085)</f>
        <v>1.7000000000000001E-2</v>
      </c>
      <c r="G408" s="18">
        <f t="shared" si="200"/>
        <v>0</v>
      </c>
      <c r="H408" s="115">
        <f t="shared" si="201"/>
        <v>1000</v>
      </c>
      <c r="I408" s="115">
        <f t="shared" si="202"/>
        <v>0</v>
      </c>
      <c r="J408" s="23">
        <f>D408*I408</f>
        <v>0</v>
      </c>
      <c r="K408" s="116">
        <f t="shared" ref="K408" si="204">G407*D407+G408*D408</f>
        <v>0</v>
      </c>
      <c r="L408" s="156">
        <f t="shared" ref="L408" si="205">J407+J408</f>
        <v>0</v>
      </c>
      <c r="M408" s="177"/>
    </row>
    <row r="409" spans="2:13" hidden="1" outlineLevel="1" x14ac:dyDescent="0.2">
      <c r="B409" s="20"/>
      <c r="C409" s="20"/>
      <c r="D409" s="112"/>
      <c r="E409" s="20"/>
      <c r="F409" s="20"/>
      <c r="G409" s="20"/>
      <c r="H409" s="20"/>
      <c r="I409" s="20"/>
      <c r="J409" s="24"/>
      <c r="K409" s="30"/>
      <c r="L409" s="157"/>
      <c r="M409" s="26"/>
    </row>
    <row r="410" spans="2:13" hidden="1" outlineLevel="1" x14ac:dyDescent="0.2">
      <c r="B410" s="19"/>
      <c r="C410" s="20"/>
      <c r="D410" s="112"/>
      <c r="E410" s="19"/>
      <c r="F410" s="19"/>
      <c r="G410" s="19"/>
      <c r="H410" s="19"/>
      <c r="I410" s="19"/>
      <c r="J410" s="25"/>
      <c r="K410" s="26"/>
      <c r="L410" s="103"/>
      <c r="M410" s="26"/>
    </row>
    <row r="411" spans="2:13" hidden="1" outlineLevel="1" x14ac:dyDescent="0.2">
      <c r="B411" s="19"/>
      <c r="C411" s="20"/>
      <c r="D411" s="112"/>
      <c r="E411" s="19"/>
      <c r="F411" s="19"/>
      <c r="G411" s="19"/>
      <c r="H411" s="19"/>
      <c r="I411" s="19"/>
      <c r="J411" s="25"/>
      <c r="K411" s="26"/>
      <c r="L411" s="103"/>
      <c r="M411" s="26"/>
    </row>
    <row r="412" spans="2:13" hidden="1" outlineLevel="1" x14ac:dyDescent="0.2">
      <c r="B412" s="19"/>
      <c r="C412" s="20"/>
      <c r="D412" s="112"/>
      <c r="E412" s="19"/>
      <c r="F412" s="19"/>
      <c r="G412" s="19"/>
      <c r="H412" s="19"/>
      <c r="I412" s="19"/>
      <c r="J412" s="25"/>
      <c r="K412" s="26"/>
      <c r="L412" s="103"/>
      <c r="M412" s="26"/>
    </row>
    <row r="413" spans="2:13" hidden="1" outlineLevel="1" x14ac:dyDescent="0.2">
      <c r="B413" s="19"/>
      <c r="C413" s="20"/>
      <c r="D413" s="112"/>
      <c r="E413" s="19"/>
      <c r="F413" s="19"/>
      <c r="G413" s="19"/>
      <c r="H413" s="19"/>
      <c r="I413" s="19"/>
      <c r="J413" s="25"/>
      <c r="K413" s="26"/>
      <c r="L413" s="103"/>
      <c r="M413" s="26"/>
    </row>
    <row r="414" spans="2:13" ht="15.75" hidden="1" outlineLevel="1" thickBot="1" x14ac:dyDescent="0.25">
      <c r="B414" s="27"/>
      <c r="C414" s="20"/>
      <c r="D414" s="112"/>
      <c r="E414" s="27"/>
      <c r="F414" s="27"/>
      <c r="G414" s="27"/>
      <c r="H414" s="27"/>
      <c r="I414" s="27"/>
      <c r="J414" s="28"/>
      <c r="K414" s="29"/>
      <c r="L414" s="158"/>
      <c r="M414" s="26"/>
    </row>
    <row r="415" spans="2:13" ht="63.75" collapsed="1" x14ac:dyDescent="0.2">
      <c r="B415" s="188">
        <v>31</v>
      </c>
      <c r="C415" s="191"/>
      <c r="D415" s="11" t="s">
        <v>9</v>
      </c>
      <c r="E415" s="12" t="s">
        <v>5</v>
      </c>
      <c r="F415" s="11" t="s">
        <v>6</v>
      </c>
      <c r="G415" s="11" t="s">
        <v>7</v>
      </c>
      <c r="H415" s="11" t="s">
        <v>8</v>
      </c>
      <c r="I415" s="12" t="s">
        <v>19</v>
      </c>
      <c r="J415" s="21" t="s">
        <v>20</v>
      </c>
      <c r="K415" s="32" t="s">
        <v>124</v>
      </c>
      <c r="L415" s="159" t="s">
        <v>125</v>
      </c>
      <c r="M415" s="33" t="s">
        <v>202</v>
      </c>
    </row>
    <row r="416" spans="2:13" ht="15.75" x14ac:dyDescent="0.2">
      <c r="B416" s="189"/>
      <c r="C416" s="192"/>
      <c r="D416" s="111">
        <v>0</v>
      </c>
      <c r="E416" s="14">
        <v>0</v>
      </c>
      <c r="F416" s="14">
        <f t="shared" ref="F416" si="206">IF($D$2*D416&lt;=200,0.33,0.25)</f>
        <v>0.33</v>
      </c>
      <c r="G416" s="14">
        <f t="shared" ref="G416:G417" si="207">E416*F416</f>
        <v>0</v>
      </c>
      <c r="H416" s="15">
        <f t="shared" ref="H416:H417" si="208">IF(($D$2*D416)&gt;40,750,IF(AND(8&lt;=($D$2*D416),($D$2*D416)&lt;=40),850,1000))</f>
        <v>1000</v>
      </c>
      <c r="I416" s="15">
        <f t="shared" ref="I416:I417" si="209">(E416*F416*H416)</f>
        <v>0</v>
      </c>
      <c r="J416" s="22">
        <f>D416*I416</f>
        <v>0</v>
      </c>
      <c r="K416" s="113"/>
      <c r="L416" s="155"/>
      <c r="M416" s="176">
        <f>IFERROR((180/($D$2*D416)),0)</f>
        <v>0</v>
      </c>
    </row>
    <row r="417" spans="2:13" ht="16.5" thickBot="1" x14ac:dyDescent="0.25">
      <c r="B417" s="190"/>
      <c r="C417" s="16"/>
      <c r="D417" s="114">
        <v>0</v>
      </c>
      <c r="E417" s="17"/>
      <c r="F417" s="152">
        <f t="shared" ref="F417" si="210">IF($D$2*D416&lt;=200,0.017,0.0085)</f>
        <v>1.7000000000000001E-2</v>
      </c>
      <c r="G417" s="18">
        <f t="shared" si="207"/>
        <v>0</v>
      </c>
      <c r="H417" s="115">
        <f t="shared" si="208"/>
        <v>1000</v>
      </c>
      <c r="I417" s="115">
        <f t="shared" si="209"/>
        <v>0</v>
      </c>
      <c r="J417" s="23">
        <f>D417*I417</f>
        <v>0</v>
      </c>
      <c r="K417" s="116">
        <f t="shared" ref="K417" si="211">G416*D416+G417*D417</f>
        <v>0</v>
      </c>
      <c r="L417" s="156">
        <f t="shared" ref="L417" si="212">J416+J417</f>
        <v>0</v>
      </c>
      <c r="M417" s="177"/>
    </row>
    <row r="418" spans="2:13" hidden="1" outlineLevel="1" x14ac:dyDescent="0.2">
      <c r="B418" s="20"/>
      <c r="C418" s="20"/>
      <c r="D418" s="112"/>
      <c r="E418" s="20"/>
      <c r="F418" s="20"/>
      <c r="G418" s="20"/>
      <c r="H418" s="20"/>
      <c r="I418" s="20"/>
      <c r="J418" s="24"/>
      <c r="K418" s="30"/>
      <c r="L418" s="157"/>
      <c r="M418" s="26"/>
    </row>
    <row r="419" spans="2:13" hidden="1" outlineLevel="1" x14ac:dyDescent="0.2">
      <c r="B419" s="19"/>
      <c r="C419" s="20"/>
      <c r="D419" s="112"/>
      <c r="E419" s="19"/>
      <c r="F419" s="19"/>
      <c r="G419" s="19"/>
      <c r="H419" s="19"/>
      <c r="I419" s="19"/>
      <c r="J419" s="25"/>
      <c r="K419" s="26"/>
      <c r="L419" s="103"/>
      <c r="M419" s="26"/>
    </row>
    <row r="420" spans="2:13" hidden="1" outlineLevel="1" x14ac:dyDescent="0.2">
      <c r="B420" s="19"/>
      <c r="C420" s="20"/>
      <c r="D420" s="112"/>
      <c r="E420" s="19"/>
      <c r="F420" s="19"/>
      <c r="G420" s="19"/>
      <c r="H420" s="19"/>
      <c r="I420" s="19"/>
      <c r="J420" s="25"/>
      <c r="K420" s="26"/>
      <c r="L420" s="103"/>
      <c r="M420" s="26"/>
    </row>
    <row r="421" spans="2:13" hidden="1" outlineLevel="1" x14ac:dyDescent="0.2">
      <c r="B421" s="19"/>
      <c r="C421" s="20"/>
      <c r="D421" s="112"/>
      <c r="E421" s="19"/>
      <c r="F421" s="19"/>
      <c r="G421" s="19"/>
      <c r="H421" s="19"/>
      <c r="I421" s="19"/>
      <c r="J421" s="25"/>
      <c r="K421" s="26"/>
      <c r="L421" s="103"/>
      <c r="M421" s="26"/>
    </row>
    <row r="422" spans="2:13" hidden="1" outlineLevel="1" x14ac:dyDescent="0.2">
      <c r="B422" s="19"/>
      <c r="C422" s="20"/>
      <c r="D422" s="112"/>
      <c r="E422" s="19"/>
      <c r="F422" s="19"/>
      <c r="G422" s="19"/>
      <c r="H422" s="19"/>
      <c r="I422" s="19"/>
      <c r="J422" s="25"/>
      <c r="K422" s="26"/>
      <c r="L422" s="103"/>
      <c r="M422" s="26"/>
    </row>
    <row r="423" spans="2:13" ht="15.75" hidden="1" outlineLevel="1" thickBot="1" x14ac:dyDescent="0.25">
      <c r="B423" s="27"/>
      <c r="C423" s="20"/>
      <c r="D423" s="112"/>
      <c r="E423" s="27"/>
      <c r="F423" s="27"/>
      <c r="G423" s="27"/>
      <c r="H423" s="27"/>
      <c r="I423" s="27"/>
      <c r="J423" s="28"/>
      <c r="K423" s="29"/>
      <c r="L423" s="158"/>
      <c r="M423" s="26"/>
    </row>
    <row r="424" spans="2:13" ht="63.75" collapsed="1" x14ac:dyDescent="0.2">
      <c r="B424" s="188">
        <v>32</v>
      </c>
      <c r="C424" s="191"/>
      <c r="D424" s="11" t="s">
        <v>9</v>
      </c>
      <c r="E424" s="12" t="s">
        <v>5</v>
      </c>
      <c r="F424" s="11" t="s">
        <v>6</v>
      </c>
      <c r="G424" s="11" t="s">
        <v>7</v>
      </c>
      <c r="H424" s="11" t="s">
        <v>8</v>
      </c>
      <c r="I424" s="12" t="s">
        <v>19</v>
      </c>
      <c r="J424" s="21" t="s">
        <v>20</v>
      </c>
      <c r="K424" s="32" t="s">
        <v>124</v>
      </c>
      <c r="L424" s="159" t="s">
        <v>125</v>
      </c>
      <c r="M424" s="33" t="s">
        <v>202</v>
      </c>
    </row>
    <row r="425" spans="2:13" ht="15.75" x14ac:dyDescent="0.2">
      <c r="B425" s="189"/>
      <c r="C425" s="192"/>
      <c r="D425" s="111">
        <v>0</v>
      </c>
      <c r="E425" s="14">
        <v>0</v>
      </c>
      <c r="F425" s="14">
        <f t="shared" ref="F425" si="213">IF($D$2*D425&lt;=200,0.33,0.25)</f>
        <v>0.33</v>
      </c>
      <c r="G425" s="14">
        <f t="shared" ref="G425:G426" si="214">E425*F425</f>
        <v>0</v>
      </c>
      <c r="H425" s="15">
        <f t="shared" ref="H425:H426" si="215">IF(($D$2*D425)&gt;40,750,IF(AND(8&lt;=($D$2*D425),($D$2*D425)&lt;=40),850,1000))</f>
        <v>1000</v>
      </c>
      <c r="I425" s="15">
        <f t="shared" ref="I425:I426" si="216">(E425*F425*H425)</f>
        <v>0</v>
      </c>
      <c r="J425" s="22">
        <f>D425*I425</f>
        <v>0</v>
      </c>
      <c r="K425" s="113"/>
      <c r="L425" s="155"/>
      <c r="M425" s="176">
        <f>IFERROR((180/($D$2*D425)),0)</f>
        <v>0</v>
      </c>
    </row>
    <row r="426" spans="2:13" ht="16.5" thickBot="1" x14ac:dyDescent="0.25">
      <c r="B426" s="190"/>
      <c r="C426" s="16"/>
      <c r="D426" s="114">
        <v>0</v>
      </c>
      <c r="E426" s="17"/>
      <c r="F426" s="152">
        <f t="shared" ref="F426" si="217">IF($D$2*D425&lt;=200,0.017,0.0085)</f>
        <v>1.7000000000000001E-2</v>
      </c>
      <c r="G426" s="18">
        <f t="shared" si="214"/>
        <v>0</v>
      </c>
      <c r="H426" s="115">
        <f t="shared" si="215"/>
        <v>1000</v>
      </c>
      <c r="I426" s="115">
        <f t="shared" si="216"/>
        <v>0</v>
      </c>
      <c r="J426" s="23">
        <f>D426*I426</f>
        <v>0</v>
      </c>
      <c r="K426" s="116">
        <f t="shared" ref="K426" si="218">G425*D425+G426*D426</f>
        <v>0</v>
      </c>
      <c r="L426" s="156">
        <f t="shared" ref="L426" si="219">J425+J426</f>
        <v>0</v>
      </c>
      <c r="M426" s="177"/>
    </row>
    <row r="427" spans="2:13" hidden="1" outlineLevel="1" x14ac:dyDescent="0.2">
      <c r="B427" s="20"/>
      <c r="C427" s="20"/>
      <c r="D427" s="112"/>
      <c r="E427" s="20"/>
      <c r="F427" s="20"/>
      <c r="G427" s="20"/>
      <c r="H427" s="20"/>
      <c r="I427" s="20"/>
      <c r="J427" s="24"/>
      <c r="K427" s="30"/>
      <c r="L427" s="30"/>
    </row>
    <row r="428" spans="2:13" hidden="1" outlineLevel="1" x14ac:dyDescent="0.2">
      <c r="B428" s="19"/>
      <c r="C428" s="20"/>
      <c r="D428" s="112"/>
      <c r="E428" s="19"/>
      <c r="F428" s="19"/>
      <c r="G428" s="19"/>
      <c r="H428" s="19"/>
      <c r="I428" s="19"/>
      <c r="J428" s="25"/>
      <c r="K428" s="26"/>
      <c r="L428" s="26"/>
    </row>
    <row r="429" spans="2:13" hidden="1" outlineLevel="1" x14ac:dyDescent="0.2">
      <c r="B429" s="19"/>
      <c r="C429" s="20"/>
      <c r="D429" s="112"/>
      <c r="E429" s="19"/>
      <c r="F429" s="19"/>
      <c r="G429" s="19"/>
      <c r="H429" s="19"/>
      <c r="I429" s="19"/>
      <c r="J429" s="25"/>
      <c r="K429" s="26"/>
      <c r="L429" s="26"/>
    </row>
    <row r="430" spans="2:13" hidden="1" outlineLevel="1" x14ac:dyDescent="0.2">
      <c r="B430" s="19"/>
      <c r="C430" s="20"/>
      <c r="D430" s="112"/>
      <c r="E430" s="19"/>
      <c r="F430" s="19"/>
      <c r="G430" s="19"/>
      <c r="H430" s="19"/>
      <c r="I430" s="19"/>
      <c r="J430" s="25"/>
      <c r="K430" s="26"/>
      <c r="L430" s="26"/>
    </row>
    <row r="431" spans="2:13" hidden="1" outlineLevel="1" x14ac:dyDescent="0.2">
      <c r="B431" s="19"/>
      <c r="C431" s="20"/>
      <c r="D431" s="112"/>
      <c r="E431" s="19"/>
      <c r="F431" s="19"/>
      <c r="G431" s="19"/>
      <c r="H431" s="19"/>
      <c r="I431" s="19"/>
      <c r="J431" s="25"/>
      <c r="K431" s="26"/>
      <c r="L431" s="26"/>
    </row>
    <row r="432" spans="2:13" hidden="1" outlineLevel="1" x14ac:dyDescent="0.2">
      <c r="B432" s="27"/>
      <c r="C432" s="20"/>
      <c r="D432" s="112"/>
      <c r="E432" s="27"/>
      <c r="F432" s="27"/>
      <c r="G432" s="27"/>
      <c r="H432" s="27"/>
      <c r="I432" s="27"/>
      <c r="J432" s="28"/>
      <c r="K432" s="29"/>
      <c r="L432" s="29"/>
    </row>
    <row r="433" spans="6:12" collapsed="1" x14ac:dyDescent="0.2">
      <c r="F433"/>
      <c r="G433"/>
      <c r="H433"/>
      <c r="I433"/>
      <c r="J433"/>
      <c r="K433"/>
      <c r="L433"/>
    </row>
  </sheetData>
  <mergeCells count="129">
    <mergeCell ref="C272:C273"/>
    <mergeCell ref="B283:B285"/>
    <mergeCell ref="C283:C284"/>
    <mergeCell ref="B152:B154"/>
    <mergeCell ref="C152:C153"/>
    <mergeCell ref="B131:B133"/>
    <mergeCell ref="B188:B190"/>
    <mergeCell ref="C188:C189"/>
    <mergeCell ref="B197:B199"/>
    <mergeCell ref="C197:C198"/>
    <mergeCell ref="B161:B163"/>
    <mergeCell ref="C161:C162"/>
    <mergeCell ref="B170:B172"/>
    <mergeCell ref="C170:C171"/>
    <mergeCell ref="C352:C353"/>
    <mergeCell ref="B292:B294"/>
    <mergeCell ref="C292:C293"/>
    <mergeCell ref="B301:B303"/>
    <mergeCell ref="C301:C302"/>
    <mergeCell ref="B316:B318"/>
    <mergeCell ref="C316:C317"/>
    <mergeCell ref="D20:G20"/>
    <mergeCell ref="B143:B145"/>
    <mergeCell ref="B226:B228"/>
    <mergeCell ref="C226:C227"/>
    <mergeCell ref="B263:B265"/>
    <mergeCell ref="C263:C264"/>
    <mergeCell ref="B235:B237"/>
    <mergeCell ref="C235:C236"/>
    <mergeCell ref="B244:B246"/>
    <mergeCell ref="C244:C245"/>
    <mergeCell ref="B254:B256"/>
    <mergeCell ref="C254:C255"/>
    <mergeCell ref="B217:B219"/>
    <mergeCell ref="C217:C218"/>
    <mergeCell ref="C131:C132"/>
    <mergeCell ref="C143:C144"/>
    <mergeCell ref="B272:B274"/>
    <mergeCell ref="B11:H11"/>
    <mergeCell ref="B424:B426"/>
    <mergeCell ref="C424:C425"/>
    <mergeCell ref="B379:B381"/>
    <mergeCell ref="C379:C380"/>
    <mergeCell ref="B388:B390"/>
    <mergeCell ref="C388:C389"/>
    <mergeCell ref="B397:B399"/>
    <mergeCell ref="C397:C398"/>
    <mergeCell ref="B406:B408"/>
    <mergeCell ref="C406:C407"/>
    <mergeCell ref="B415:B417"/>
    <mergeCell ref="C415:C416"/>
    <mergeCell ref="B361:B363"/>
    <mergeCell ref="C361:C362"/>
    <mergeCell ref="B370:B372"/>
    <mergeCell ref="C370:C371"/>
    <mergeCell ref="B325:B327"/>
    <mergeCell ref="C325:C326"/>
    <mergeCell ref="B334:B336"/>
    <mergeCell ref="C334:C335"/>
    <mergeCell ref="B343:B345"/>
    <mergeCell ref="C343:C344"/>
    <mergeCell ref="B352:B354"/>
    <mergeCell ref="B1:C1"/>
    <mergeCell ref="B8:C8"/>
    <mergeCell ref="B10:H10"/>
    <mergeCell ref="B9:C9"/>
    <mergeCell ref="B2:C2"/>
    <mergeCell ref="E3:H3"/>
    <mergeCell ref="B3:D3"/>
    <mergeCell ref="B4:C4"/>
    <mergeCell ref="B5:C5"/>
    <mergeCell ref="B6:C6"/>
    <mergeCell ref="B7:C7"/>
    <mergeCell ref="E1:I2"/>
    <mergeCell ref="E4:G4"/>
    <mergeCell ref="B13:H13"/>
    <mergeCell ref="C63:D63"/>
    <mergeCell ref="E64:G64"/>
    <mergeCell ref="B16:G16"/>
    <mergeCell ref="B61:K61"/>
    <mergeCell ref="B179:B181"/>
    <mergeCell ref="B206:B208"/>
    <mergeCell ref="C206:C207"/>
    <mergeCell ref="B128:L128"/>
    <mergeCell ref="D17:G17"/>
    <mergeCell ref="D18:G18"/>
    <mergeCell ref="D21:G21"/>
    <mergeCell ref="D22:G22"/>
    <mergeCell ref="D23:G23"/>
    <mergeCell ref="D25:G25"/>
    <mergeCell ref="D19:G19"/>
    <mergeCell ref="D24:G24"/>
    <mergeCell ref="C179:C180"/>
    <mergeCell ref="B26:G26"/>
    <mergeCell ref="E58:G58"/>
    <mergeCell ref="E77:G77"/>
    <mergeCell ref="J77:L77"/>
    <mergeCell ref="M180:M181"/>
    <mergeCell ref="M189:M190"/>
    <mergeCell ref="M198:M199"/>
    <mergeCell ref="M207:M208"/>
    <mergeCell ref="M218:M219"/>
    <mergeCell ref="M132:M133"/>
    <mergeCell ref="M144:M145"/>
    <mergeCell ref="M153:M154"/>
    <mergeCell ref="M162:M163"/>
    <mergeCell ref="M171:M172"/>
    <mergeCell ref="M273:M274"/>
    <mergeCell ref="M284:M285"/>
    <mergeCell ref="M293:M294"/>
    <mergeCell ref="M302:M303"/>
    <mergeCell ref="M317:M318"/>
    <mergeCell ref="M227:M228"/>
    <mergeCell ref="M236:M237"/>
    <mergeCell ref="M245:M246"/>
    <mergeCell ref="M255:M256"/>
    <mergeCell ref="M264:M265"/>
    <mergeCell ref="M416:M417"/>
    <mergeCell ref="M425:M426"/>
    <mergeCell ref="M371:M372"/>
    <mergeCell ref="M380:M381"/>
    <mergeCell ref="M389:M390"/>
    <mergeCell ref="M398:M399"/>
    <mergeCell ref="M407:M408"/>
    <mergeCell ref="M326:M327"/>
    <mergeCell ref="M335:M336"/>
    <mergeCell ref="M344:M345"/>
    <mergeCell ref="M353:M354"/>
    <mergeCell ref="M362:M363"/>
  </mergeCells>
  <conditionalFormatting sqref="H17">
    <cfRule type="cellIs" dxfId="75" priority="15" operator="equal">
      <formula>0</formula>
    </cfRule>
  </conditionalFormatting>
  <conditionalFormatting sqref="H64">
    <cfRule type="cellIs" dxfId="74" priority="12" operator="equal">
      <formula>0</formula>
    </cfRule>
  </conditionalFormatting>
  <conditionalFormatting sqref="H18:H23">
    <cfRule type="cellIs" dxfId="73" priority="10" operator="equal">
      <formula>0</formula>
    </cfRule>
  </conditionalFormatting>
  <conditionalFormatting sqref="H76">
    <cfRule type="cellIs" dxfId="72" priority="9" operator="equal">
      <formula>0</formula>
    </cfRule>
  </conditionalFormatting>
  <conditionalFormatting sqref="H27:H37 H39:H57">
    <cfRule type="cellIs" dxfId="71" priority="7" operator="equal">
      <formula>0</formula>
    </cfRule>
  </conditionalFormatting>
  <conditionalFormatting sqref="H24">
    <cfRule type="cellIs" dxfId="70" priority="5" operator="equal">
      <formula>0</formula>
    </cfRule>
  </conditionalFormatting>
  <conditionalFormatting sqref="H25">
    <cfRule type="cellIs" dxfId="69" priority="4" operator="equal">
      <formula>0</formula>
    </cfRule>
  </conditionalFormatting>
  <conditionalFormatting sqref="H38">
    <cfRule type="cellIs" dxfId="68" priority="3" operator="equal">
      <formula>0</formula>
    </cfRule>
  </conditionalFormatting>
  <conditionalFormatting sqref="H65:H74">
    <cfRule type="cellIs" dxfId="67" priority="2" operator="equal">
      <formula>0</formula>
    </cfRule>
  </conditionalFormatting>
  <conditionalFormatting sqref="H75">
    <cfRule type="cellIs" dxfId="66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W158"/>
  <sheetViews>
    <sheetView topLeftCell="A4" workbookViewId="0">
      <selection activeCell="L16" sqref="L16"/>
    </sheetView>
  </sheetViews>
  <sheetFormatPr defaultRowHeight="11.25" x14ac:dyDescent="0.2"/>
  <cols>
    <col min="1" max="1" width="9.5" bestFit="1" customWidth="1"/>
    <col min="2" max="2" width="14.6640625" customWidth="1"/>
    <col min="3" max="3" width="14.1640625" customWidth="1"/>
    <col min="4" max="4" width="19.5" customWidth="1"/>
    <col min="5" max="5" width="12.83203125" customWidth="1"/>
    <col min="6" max="6" width="23.6640625" customWidth="1"/>
    <col min="7" max="7" width="15.83203125" customWidth="1"/>
    <col min="8" max="8" width="8.83203125" customWidth="1"/>
    <col min="9" max="9" width="16.5" customWidth="1"/>
  </cols>
  <sheetData>
    <row r="3" spans="1:23" ht="16.5" thickBot="1" x14ac:dyDescent="0.3">
      <c r="A3" s="57" t="s">
        <v>15</v>
      </c>
      <c r="B3" s="212" t="s">
        <v>65</v>
      </c>
      <c r="C3" s="212"/>
      <c r="D3" s="212"/>
      <c r="E3" s="57"/>
      <c r="F3" s="57"/>
      <c r="G3" s="57"/>
      <c r="H3" s="57"/>
      <c r="I3" s="57"/>
    </row>
    <row r="4" spans="1:23" ht="15.75" x14ac:dyDescent="0.25">
      <c r="A4" s="58">
        <v>1</v>
      </c>
      <c r="B4" s="211"/>
      <c r="C4" s="211"/>
      <c r="D4" s="211"/>
      <c r="E4" s="59"/>
      <c r="F4" s="59"/>
      <c r="G4" s="59"/>
      <c r="H4" s="59"/>
      <c r="I4" s="60"/>
    </row>
    <row r="5" spans="1:23" ht="15.75" x14ac:dyDescent="0.25">
      <c r="A5" s="61"/>
      <c r="B5" s="6"/>
      <c r="C5" s="6"/>
      <c r="D5" s="6"/>
      <c r="E5" s="6"/>
      <c r="F5" s="6"/>
      <c r="G5" s="6"/>
      <c r="H5" s="6"/>
      <c r="I5" s="62"/>
    </row>
    <row r="6" spans="1:23" ht="15.75" x14ac:dyDescent="0.25">
      <c r="A6" s="61"/>
      <c r="B6" s="63" t="s">
        <v>30</v>
      </c>
      <c r="C6" s="64"/>
      <c r="D6" s="64"/>
      <c r="E6" s="64"/>
      <c r="F6" s="65"/>
      <c r="G6" s="6"/>
      <c r="H6" s="6"/>
      <c r="I6" s="62"/>
    </row>
    <row r="7" spans="1:23" ht="15.75" x14ac:dyDescent="0.25">
      <c r="A7" s="61"/>
      <c r="B7" s="66"/>
      <c r="C7" s="6"/>
      <c r="D7" s="6"/>
      <c r="E7" s="6"/>
      <c r="F7" s="67"/>
      <c r="G7" s="6"/>
      <c r="H7" s="6"/>
      <c r="I7" s="62"/>
    </row>
    <row r="8" spans="1:23" ht="31.5" x14ac:dyDescent="0.25">
      <c r="A8" s="61"/>
      <c r="B8" s="68" t="s">
        <v>55</v>
      </c>
      <c r="C8" s="69" t="s">
        <v>19</v>
      </c>
      <c r="D8" s="69" t="s">
        <v>56</v>
      </c>
      <c r="E8" s="69" t="s">
        <v>57</v>
      </c>
      <c r="F8" s="69" t="s">
        <v>20</v>
      </c>
      <c r="G8" s="70" t="s">
        <v>58</v>
      </c>
      <c r="H8" s="70" t="s">
        <v>59</v>
      </c>
      <c r="I8" s="71" t="s">
        <v>60</v>
      </c>
      <c r="J8" s="83"/>
      <c r="W8" s="83"/>
    </row>
    <row r="9" spans="1:23" ht="15.75" x14ac:dyDescent="0.25">
      <c r="A9" s="61"/>
      <c r="B9" s="4"/>
      <c r="C9" s="72">
        <v>60</v>
      </c>
      <c r="D9" s="4">
        <v>1.01</v>
      </c>
      <c r="E9" s="4">
        <v>1.03</v>
      </c>
      <c r="F9" s="73">
        <f>B9*C9*D9*E9</f>
        <v>0</v>
      </c>
      <c r="G9" s="6"/>
      <c r="H9" s="6"/>
      <c r="I9" s="62"/>
      <c r="J9" s="83">
        <f>F9*H19</f>
        <v>0</v>
      </c>
    </row>
    <row r="10" spans="1:23" ht="15.75" x14ac:dyDescent="0.25">
      <c r="A10" s="61"/>
      <c r="B10" s="66"/>
      <c r="C10" s="6"/>
      <c r="D10" s="6"/>
      <c r="E10" s="6"/>
      <c r="F10" s="67"/>
      <c r="G10" s="6"/>
      <c r="H10" s="6"/>
      <c r="I10" s="62"/>
    </row>
    <row r="11" spans="1:23" ht="15.75" x14ac:dyDescent="0.25">
      <c r="A11" s="61"/>
      <c r="B11" s="74" t="s">
        <v>61</v>
      </c>
      <c r="C11" s="75"/>
      <c r="D11" s="75"/>
      <c r="E11" s="75"/>
      <c r="F11" s="76"/>
      <c r="G11" s="6"/>
      <c r="H11" s="6"/>
      <c r="I11" s="62"/>
    </row>
    <row r="12" spans="1:23" ht="15.75" x14ac:dyDescent="0.25">
      <c r="A12" s="61"/>
      <c r="B12" s="66"/>
      <c r="C12" s="6"/>
      <c r="D12" s="6"/>
      <c r="E12" s="6"/>
      <c r="F12" s="67"/>
      <c r="G12" s="6"/>
      <c r="H12" s="6"/>
      <c r="I12" s="62"/>
    </row>
    <row r="13" spans="1:23" ht="31.5" x14ac:dyDescent="0.25">
      <c r="A13" s="61"/>
      <c r="B13" s="108" t="s">
        <v>111</v>
      </c>
      <c r="C13" s="108" t="s">
        <v>112</v>
      </c>
      <c r="D13" s="108" t="s">
        <v>113</v>
      </c>
      <c r="E13" s="69" t="s">
        <v>62</v>
      </c>
      <c r="F13" s="69" t="s">
        <v>20</v>
      </c>
      <c r="G13" s="6"/>
      <c r="H13" s="6"/>
      <c r="I13" s="62"/>
    </row>
    <row r="14" spans="1:23" ht="15.75" x14ac:dyDescent="0.25">
      <c r="A14" s="61"/>
      <c r="B14" s="109">
        <v>0</v>
      </c>
      <c r="C14" s="109">
        <v>0</v>
      </c>
      <c r="D14" s="109">
        <f>B14*C14</f>
        <v>0</v>
      </c>
      <c r="E14" s="72">
        <v>50</v>
      </c>
      <c r="F14" s="73">
        <f>D14*E14</f>
        <v>0</v>
      </c>
      <c r="G14" s="6"/>
      <c r="H14" s="6"/>
      <c r="I14" s="62"/>
    </row>
    <row r="15" spans="1:23" ht="15.75" x14ac:dyDescent="0.25">
      <c r="A15" s="61"/>
      <c r="B15" s="66"/>
      <c r="C15" s="6"/>
      <c r="D15" s="6"/>
      <c r="E15" s="6"/>
      <c r="F15" s="67"/>
      <c r="G15" s="6"/>
      <c r="H15" s="6"/>
      <c r="I15" s="62"/>
    </row>
    <row r="16" spans="1:23" ht="15.75" x14ac:dyDescent="0.25">
      <c r="A16" s="61"/>
      <c r="B16" s="74" t="s">
        <v>63</v>
      </c>
      <c r="C16" s="75"/>
      <c r="D16" s="75"/>
      <c r="E16" s="75"/>
      <c r="F16" s="76"/>
      <c r="G16" s="6"/>
      <c r="H16" s="6"/>
      <c r="I16" s="62"/>
    </row>
    <row r="17" spans="1:11" ht="15.75" x14ac:dyDescent="0.25">
      <c r="A17" s="61"/>
      <c r="B17" s="66"/>
      <c r="C17" s="6"/>
      <c r="D17" s="6"/>
      <c r="E17" s="6"/>
      <c r="F17" s="67"/>
      <c r="G17" s="6"/>
      <c r="H17" s="6"/>
      <c r="I17" s="62"/>
    </row>
    <row r="18" spans="1:11" ht="32.25" thickBot="1" x14ac:dyDescent="0.3">
      <c r="A18" s="61"/>
      <c r="B18" s="4" t="s">
        <v>64</v>
      </c>
      <c r="C18" s="69" t="s">
        <v>62</v>
      </c>
      <c r="D18" s="69" t="s">
        <v>20</v>
      </c>
      <c r="E18" s="6"/>
      <c r="F18" s="67"/>
      <c r="G18" s="6"/>
      <c r="H18" s="6"/>
      <c r="I18" s="62"/>
    </row>
    <row r="19" spans="1:11" ht="16.5" thickBot="1" x14ac:dyDescent="0.3">
      <c r="A19" s="77"/>
      <c r="B19" s="78">
        <f>(B14+C14)*2</f>
        <v>0</v>
      </c>
      <c r="C19" s="78">
        <v>5</v>
      </c>
      <c r="D19" s="79">
        <f>B19*C19</f>
        <v>0</v>
      </c>
      <c r="E19" s="80"/>
      <c r="F19" s="80"/>
      <c r="G19" s="81">
        <f>F9+F14+D19</f>
        <v>0</v>
      </c>
      <c r="H19" s="80">
        <v>1</v>
      </c>
      <c r="I19" s="82">
        <f>G19*H19</f>
        <v>0</v>
      </c>
    </row>
    <row r="20" spans="1:11" ht="16.5" thickBot="1" x14ac:dyDescent="0.3">
      <c r="A20" s="57"/>
      <c r="B20" s="57"/>
      <c r="C20" s="57"/>
      <c r="D20" s="57"/>
      <c r="E20" s="57"/>
      <c r="F20" s="57"/>
      <c r="G20" s="57"/>
      <c r="H20" s="57"/>
      <c r="I20" s="57"/>
    </row>
    <row r="21" spans="1:11" ht="15.75" x14ac:dyDescent="0.25">
      <c r="A21" s="58">
        <v>2</v>
      </c>
      <c r="B21" s="211"/>
      <c r="C21" s="211"/>
      <c r="D21" s="211"/>
      <c r="E21" s="59"/>
      <c r="F21" s="59"/>
      <c r="G21" s="59"/>
      <c r="H21" s="59"/>
      <c r="I21" s="60"/>
    </row>
    <row r="22" spans="1:11" ht="15.75" x14ac:dyDescent="0.25">
      <c r="A22" s="61"/>
      <c r="B22" s="6"/>
      <c r="C22" s="6"/>
      <c r="D22" s="6"/>
      <c r="E22" s="6"/>
      <c r="F22" s="6"/>
      <c r="G22" s="6"/>
      <c r="H22" s="6"/>
      <c r="I22" s="62"/>
    </row>
    <row r="23" spans="1:11" ht="15.75" x14ac:dyDescent="0.25">
      <c r="A23" s="61"/>
      <c r="B23" s="63" t="s">
        <v>30</v>
      </c>
      <c r="C23" s="64"/>
      <c r="D23" s="64"/>
      <c r="E23" s="64"/>
      <c r="F23" s="65"/>
      <c r="G23" s="6"/>
      <c r="H23" s="6"/>
      <c r="I23" s="62"/>
    </row>
    <row r="24" spans="1:11" ht="15.75" x14ac:dyDescent="0.25">
      <c r="A24" s="61"/>
      <c r="B24" s="66"/>
      <c r="C24" s="6"/>
      <c r="D24" s="6"/>
      <c r="E24" s="6"/>
      <c r="F24" s="67"/>
      <c r="G24" s="6"/>
      <c r="H24" s="6"/>
      <c r="I24" s="62"/>
    </row>
    <row r="25" spans="1:11" ht="31.5" x14ac:dyDescent="0.25">
      <c r="A25" s="61"/>
      <c r="B25" s="68" t="s">
        <v>55</v>
      </c>
      <c r="C25" s="69" t="s">
        <v>19</v>
      </c>
      <c r="D25" s="69" t="s">
        <v>56</v>
      </c>
      <c r="E25" s="69" t="s">
        <v>57</v>
      </c>
      <c r="F25" s="69" t="s">
        <v>20</v>
      </c>
      <c r="G25" s="70" t="s">
        <v>58</v>
      </c>
      <c r="H25" s="70" t="s">
        <v>59</v>
      </c>
      <c r="I25" s="71" t="s">
        <v>60</v>
      </c>
    </row>
    <row r="26" spans="1:11" ht="15.75" x14ac:dyDescent="0.25">
      <c r="A26" s="61"/>
      <c r="B26" s="4">
        <v>0</v>
      </c>
      <c r="C26" s="72">
        <v>60</v>
      </c>
      <c r="D26" s="4">
        <v>1.01</v>
      </c>
      <c r="E26" s="4">
        <v>1.03</v>
      </c>
      <c r="F26" s="73">
        <f>B26*C26*D26*E26</f>
        <v>0</v>
      </c>
      <c r="G26" s="6"/>
      <c r="H26" s="6"/>
      <c r="I26" s="62"/>
      <c r="J26" s="83">
        <f>F26*H36</f>
        <v>0</v>
      </c>
      <c r="K26">
        <f>B26*H36</f>
        <v>0</v>
      </c>
    </row>
    <row r="27" spans="1:11" ht="15.75" x14ac:dyDescent="0.25">
      <c r="A27" s="61"/>
      <c r="B27" s="66"/>
      <c r="C27" s="6"/>
      <c r="D27" s="6"/>
      <c r="E27" s="6"/>
      <c r="F27" s="67"/>
      <c r="G27" s="6"/>
      <c r="H27" s="6"/>
      <c r="I27" s="62"/>
    </row>
    <row r="28" spans="1:11" ht="15.75" x14ac:dyDescent="0.25">
      <c r="A28" s="61"/>
      <c r="B28" s="74" t="s">
        <v>61</v>
      </c>
      <c r="C28" s="75"/>
      <c r="D28" s="75"/>
      <c r="E28" s="75"/>
      <c r="F28" s="76"/>
      <c r="G28" s="6"/>
      <c r="H28" s="6"/>
      <c r="I28" s="62"/>
    </row>
    <row r="29" spans="1:11" ht="15.75" x14ac:dyDescent="0.25">
      <c r="A29" s="61"/>
      <c r="B29" s="66"/>
      <c r="C29" s="6"/>
      <c r="D29" s="6"/>
      <c r="E29" s="6"/>
      <c r="F29" s="67"/>
      <c r="G29" s="6"/>
      <c r="H29" s="6"/>
      <c r="I29" s="62"/>
    </row>
    <row r="30" spans="1:11" ht="31.5" x14ac:dyDescent="0.25">
      <c r="A30" s="61"/>
      <c r="B30" s="108" t="s">
        <v>111</v>
      </c>
      <c r="C30" s="108" t="s">
        <v>112</v>
      </c>
      <c r="D30" s="108" t="s">
        <v>113</v>
      </c>
      <c r="E30" s="69" t="s">
        <v>62</v>
      </c>
      <c r="F30" s="69" t="s">
        <v>20</v>
      </c>
      <c r="G30" s="6"/>
      <c r="H30" s="6"/>
      <c r="I30" s="62"/>
    </row>
    <row r="31" spans="1:11" ht="15.75" x14ac:dyDescent="0.25">
      <c r="A31" s="61"/>
      <c r="B31" s="109">
        <v>0</v>
      </c>
      <c r="C31" s="109">
        <v>0</v>
      </c>
      <c r="D31" s="109">
        <f>B31*C31</f>
        <v>0</v>
      </c>
      <c r="E31" s="72">
        <v>50</v>
      </c>
      <c r="F31" s="73">
        <f>D31*E31</f>
        <v>0</v>
      </c>
      <c r="G31" s="6"/>
      <c r="H31" s="6"/>
      <c r="I31" s="62"/>
    </row>
    <row r="32" spans="1:11" ht="15.75" x14ac:dyDescent="0.25">
      <c r="A32" s="61"/>
      <c r="B32" s="66"/>
      <c r="C32" s="6"/>
      <c r="D32" s="6"/>
      <c r="E32" s="6"/>
      <c r="F32" s="67"/>
      <c r="G32" s="6"/>
      <c r="H32" s="6"/>
      <c r="I32" s="62"/>
    </row>
    <row r="33" spans="1:11" ht="15.75" x14ac:dyDescent="0.25">
      <c r="A33" s="61"/>
      <c r="B33" s="74" t="s">
        <v>63</v>
      </c>
      <c r="C33" s="75"/>
      <c r="D33" s="75"/>
      <c r="E33" s="75"/>
      <c r="F33" s="76"/>
      <c r="G33" s="6"/>
      <c r="H33" s="6"/>
      <c r="I33" s="62"/>
    </row>
    <row r="34" spans="1:11" ht="15.75" x14ac:dyDescent="0.25">
      <c r="A34" s="61"/>
      <c r="B34" s="66"/>
      <c r="C34" s="6"/>
      <c r="D34" s="6"/>
      <c r="E34" s="6"/>
      <c r="F34" s="67"/>
      <c r="G34" s="6"/>
      <c r="H34" s="6"/>
      <c r="I34" s="62"/>
    </row>
    <row r="35" spans="1:11" ht="32.25" thickBot="1" x14ac:dyDescent="0.3">
      <c r="A35" s="61"/>
      <c r="B35" s="4" t="s">
        <v>64</v>
      </c>
      <c r="C35" s="69" t="s">
        <v>62</v>
      </c>
      <c r="D35" s="69" t="s">
        <v>20</v>
      </c>
      <c r="E35" s="6"/>
      <c r="F35" s="67"/>
      <c r="G35" s="6"/>
      <c r="H35" s="6"/>
      <c r="I35" s="62"/>
    </row>
    <row r="36" spans="1:11" ht="16.5" thickBot="1" x14ac:dyDescent="0.3">
      <c r="A36" s="77"/>
      <c r="B36" s="78">
        <f>(B31+C31)*2</f>
        <v>0</v>
      </c>
      <c r="C36" s="78">
        <v>5</v>
      </c>
      <c r="D36" s="79">
        <f>B36*C36</f>
        <v>0</v>
      </c>
      <c r="E36" s="80"/>
      <c r="F36" s="80"/>
      <c r="G36" s="81">
        <f>F26+F31+D36</f>
        <v>0</v>
      </c>
      <c r="H36" s="80">
        <v>1</v>
      </c>
      <c r="I36" s="82">
        <f>G36*H36</f>
        <v>0</v>
      </c>
    </row>
    <row r="37" spans="1:11" ht="16.5" thickBot="1" x14ac:dyDescent="0.3">
      <c r="A37" s="57"/>
      <c r="B37" s="57"/>
      <c r="C37" s="57"/>
      <c r="D37" s="57"/>
      <c r="E37" s="57"/>
      <c r="F37" s="57"/>
      <c r="G37" s="57"/>
      <c r="H37" s="57"/>
      <c r="I37" s="57"/>
    </row>
    <row r="38" spans="1:11" ht="15.75" x14ac:dyDescent="0.25">
      <c r="A38" s="58">
        <v>3</v>
      </c>
      <c r="B38" s="211"/>
      <c r="C38" s="211"/>
      <c r="D38" s="211"/>
      <c r="E38" s="59"/>
      <c r="F38" s="59"/>
      <c r="G38" s="59"/>
      <c r="H38" s="59"/>
      <c r="I38" s="60"/>
    </row>
    <row r="39" spans="1:11" ht="15.75" x14ac:dyDescent="0.25">
      <c r="A39" s="61"/>
      <c r="B39" s="6"/>
      <c r="C39" s="6"/>
      <c r="D39" s="6"/>
      <c r="E39" s="6"/>
      <c r="F39" s="6"/>
      <c r="G39" s="6"/>
      <c r="H39" s="6"/>
      <c r="I39" s="62"/>
    </row>
    <row r="40" spans="1:11" ht="15.75" x14ac:dyDescent="0.25">
      <c r="A40" s="61"/>
      <c r="B40" s="63" t="s">
        <v>30</v>
      </c>
      <c r="C40" s="64"/>
      <c r="D40" s="64"/>
      <c r="E40" s="64"/>
      <c r="F40" s="65"/>
      <c r="G40" s="6"/>
      <c r="H40" s="6"/>
      <c r="I40" s="62"/>
    </row>
    <row r="41" spans="1:11" ht="15.75" x14ac:dyDescent="0.25">
      <c r="A41" s="61"/>
      <c r="B41" s="66"/>
      <c r="C41" s="6"/>
      <c r="D41" s="6"/>
      <c r="E41" s="6"/>
      <c r="F41" s="67"/>
      <c r="G41" s="6"/>
      <c r="H41" s="6"/>
      <c r="I41" s="62"/>
    </row>
    <row r="42" spans="1:11" ht="47.25" x14ac:dyDescent="0.25">
      <c r="A42" s="61"/>
      <c r="B42" s="68" t="s">
        <v>55</v>
      </c>
      <c r="C42" s="69" t="s">
        <v>19</v>
      </c>
      <c r="D42" s="69" t="s">
        <v>56</v>
      </c>
      <c r="E42" s="69" t="s">
        <v>57</v>
      </c>
      <c r="F42" s="69" t="s">
        <v>20</v>
      </c>
      <c r="G42" s="70" t="s">
        <v>58</v>
      </c>
      <c r="H42" s="70" t="s">
        <v>59</v>
      </c>
      <c r="I42" s="71" t="s">
        <v>60</v>
      </c>
    </row>
    <row r="43" spans="1:11" ht="15.75" x14ac:dyDescent="0.25">
      <c r="A43" s="61"/>
      <c r="B43" s="4">
        <v>0</v>
      </c>
      <c r="C43" s="72">
        <v>60</v>
      </c>
      <c r="D43" s="4">
        <v>1.01</v>
      </c>
      <c r="E43" s="4">
        <v>1.03</v>
      </c>
      <c r="F43" s="73">
        <f>B43*C43*D43*E43</f>
        <v>0</v>
      </c>
      <c r="G43" s="6"/>
      <c r="H43" s="6"/>
      <c r="I43" s="62"/>
      <c r="J43" s="83">
        <f>F43*H53</f>
        <v>0</v>
      </c>
      <c r="K43">
        <f>B43*H53</f>
        <v>0</v>
      </c>
    </row>
    <row r="44" spans="1:11" ht="15.75" x14ac:dyDescent="0.25">
      <c r="A44" s="61"/>
      <c r="B44" s="66"/>
      <c r="C44" s="6"/>
      <c r="D44" s="6"/>
      <c r="E44" s="6"/>
      <c r="F44" s="67"/>
      <c r="G44" s="6"/>
      <c r="H44" s="6"/>
      <c r="I44" s="62"/>
    </row>
    <row r="45" spans="1:11" ht="15.75" x14ac:dyDescent="0.25">
      <c r="A45" s="61"/>
      <c r="B45" s="74" t="s">
        <v>61</v>
      </c>
      <c r="C45" s="75"/>
      <c r="D45" s="75"/>
      <c r="E45" s="75"/>
      <c r="F45" s="76"/>
      <c r="G45" s="6"/>
      <c r="H45" s="6"/>
      <c r="I45" s="62"/>
    </row>
    <row r="46" spans="1:11" ht="15.75" x14ac:dyDescent="0.25">
      <c r="A46" s="61"/>
      <c r="B46" s="66"/>
      <c r="C46" s="6"/>
      <c r="D46" s="6"/>
      <c r="E46" s="6"/>
      <c r="F46" s="67"/>
      <c r="G46" s="6"/>
      <c r="H46" s="6"/>
      <c r="I46" s="62"/>
    </row>
    <row r="47" spans="1:11" ht="31.5" x14ac:dyDescent="0.25">
      <c r="A47" s="61"/>
      <c r="B47" s="108" t="s">
        <v>111</v>
      </c>
      <c r="C47" s="108" t="s">
        <v>112</v>
      </c>
      <c r="D47" s="108" t="s">
        <v>113</v>
      </c>
      <c r="E47" s="69" t="s">
        <v>62</v>
      </c>
      <c r="F47" s="69" t="s">
        <v>20</v>
      </c>
      <c r="G47" s="6"/>
      <c r="H47" s="6"/>
      <c r="I47" s="62"/>
    </row>
    <row r="48" spans="1:11" ht="15.75" x14ac:dyDescent="0.25">
      <c r="A48" s="61"/>
      <c r="B48" s="109">
        <v>0</v>
      </c>
      <c r="C48" s="109">
        <v>0</v>
      </c>
      <c r="D48" s="109">
        <f>B48*C48</f>
        <v>0</v>
      </c>
      <c r="E48" s="72">
        <v>50</v>
      </c>
      <c r="F48" s="73">
        <f>D48*E48</f>
        <v>0</v>
      </c>
      <c r="G48" s="6"/>
      <c r="H48" s="6"/>
      <c r="I48" s="62"/>
    </row>
    <row r="49" spans="1:11" ht="15.75" x14ac:dyDescent="0.25">
      <c r="A49" s="61"/>
      <c r="B49" s="66"/>
      <c r="C49" s="6"/>
      <c r="D49" s="6"/>
      <c r="E49" s="6"/>
      <c r="F49" s="67"/>
      <c r="G49" s="6"/>
      <c r="H49" s="6"/>
      <c r="I49" s="62"/>
    </row>
    <row r="50" spans="1:11" ht="15.75" x14ac:dyDescent="0.25">
      <c r="A50" s="61"/>
      <c r="B50" s="74" t="s">
        <v>63</v>
      </c>
      <c r="C50" s="75"/>
      <c r="D50" s="75"/>
      <c r="E50" s="75"/>
      <c r="F50" s="76"/>
      <c r="G50" s="6"/>
      <c r="H50" s="6"/>
      <c r="I50" s="62"/>
    </row>
    <row r="51" spans="1:11" ht="15.75" x14ac:dyDescent="0.25">
      <c r="A51" s="61"/>
      <c r="B51" s="66"/>
      <c r="C51" s="6"/>
      <c r="D51" s="6"/>
      <c r="E51" s="6"/>
      <c r="F51" s="67"/>
      <c r="G51" s="6"/>
      <c r="H51" s="6"/>
      <c r="I51" s="62"/>
    </row>
    <row r="52" spans="1:11" ht="32.25" thickBot="1" x14ac:dyDescent="0.3">
      <c r="A52" s="61"/>
      <c r="B52" s="4" t="s">
        <v>64</v>
      </c>
      <c r="C52" s="69" t="s">
        <v>62</v>
      </c>
      <c r="D52" s="69" t="s">
        <v>20</v>
      </c>
      <c r="E52" s="6"/>
      <c r="F52" s="67"/>
      <c r="G52" s="6"/>
      <c r="H52" s="6"/>
      <c r="I52" s="62"/>
    </row>
    <row r="53" spans="1:11" ht="16.5" thickBot="1" x14ac:dyDescent="0.3">
      <c r="A53" s="77"/>
      <c r="B53" s="78">
        <f>(B48+C48)*2</f>
        <v>0</v>
      </c>
      <c r="C53" s="78">
        <v>5</v>
      </c>
      <c r="D53" s="79">
        <f>B53*C53</f>
        <v>0</v>
      </c>
      <c r="E53" s="80"/>
      <c r="F53" s="80"/>
      <c r="G53" s="81">
        <f>F43+F48+D53</f>
        <v>0</v>
      </c>
      <c r="H53" s="80">
        <v>1</v>
      </c>
      <c r="I53" s="82">
        <f>G53*H53</f>
        <v>0</v>
      </c>
    </row>
    <row r="54" spans="1:11" ht="16.5" thickBot="1" x14ac:dyDescent="0.3">
      <c r="A54" s="57"/>
      <c r="B54" s="57"/>
      <c r="C54" s="57"/>
      <c r="D54" s="57"/>
      <c r="E54" s="57"/>
      <c r="F54" s="57"/>
      <c r="G54" s="57"/>
      <c r="H54" s="57"/>
      <c r="I54" s="57"/>
    </row>
    <row r="55" spans="1:11" ht="15.75" x14ac:dyDescent="0.25">
      <c r="A55" s="58">
        <v>4</v>
      </c>
      <c r="B55" s="211"/>
      <c r="C55" s="211"/>
      <c r="D55" s="211"/>
      <c r="E55" s="59"/>
      <c r="F55" s="59"/>
      <c r="G55" s="59"/>
      <c r="H55" s="59"/>
      <c r="I55" s="60"/>
    </row>
    <row r="56" spans="1:11" ht="15.75" x14ac:dyDescent="0.25">
      <c r="A56" s="61"/>
      <c r="B56" s="6"/>
      <c r="C56" s="6"/>
      <c r="D56" s="6"/>
      <c r="E56" s="6"/>
      <c r="F56" s="6"/>
      <c r="G56" s="6"/>
      <c r="H56" s="6"/>
      <c r="I56" s="62"/>
    </row>
    <row r="57" spans="1:11" ht="15.75" x14ac:dyDescent="0.25">
      <c r="A57" s="61"/>
      <c r="B57" s="63" t="s">
        <v>30</v>
      </c>
      <c r="C57" s="64"/>
      <c r="D57" s="64"/>
      <c r="E57" s="64"/>
      <c r="F57" s="65"/>
      <c r="G57" s="6"/>
      <c r="H57" s="6"/>
      <c r="I57" s="62"/>
    </row>
    <row r="58" spans="1:11" ht="15.75" x14ac:dyDescent="0.25">
      <c r="A58" s="61"/>
      <c r="B58" s="66"/>
      <c r="C58" s="6"/>
      <c r="D58" s="6"/>
      <c r="E58" s="6"/>
      <c r="F58" s="67"/>
      <c r="G58" s="6"/>
      <c r="H58" s="6"/>
      <c r="I58" s="62"/>
    </row>
    <row r="59" spans="1:11" ht="47.25" x14ac:dyDescent="0.25">
      <c r="A59" s="61"/>
      <c r="B59" s="68" t="s">
        <v>55</v>
      </c>
      <c r="C59" s="69" t="s">
        <v>19</v>
      </c>
      <c r="D59" s="69" t="s">
        <v>56</v>
      </c>
      <c r="E59" s="69" t="s">
        <v>57</v>
      </c>
      <c r="F59" s="69" t="s">
        <v>20</v>
      </c>
      <c r="G59" s="70" t="s">
        <v>58</v>
      </c>
      <c r="H59" s="70" t="s">
        <v>59</v>
      </c>
      <c r="I59" s="71" t="s">
        <v>60</v>
      </c>
    </row>
    <row r="60" spans="1:11" ht="15.75" x14ac:dyDescent="0.25">
      <c r="A60" s="61"/>
      <c r="B60" s="4">
        <v>0</v>
      </c>
      <c r="C60" s="72">
        <v>60</v>
      </c>
      <c r="D60" s="4">
        <v>1.01</v>
      </c>
      <c r="E60" s="4">
        <v>1.03</v>
      </c>
      <c r="F60" s="73">
        <f>B60*C60*D60*E60</f>
        <v>0</v>
      </c>
      <c r="G60" s="6"/>
      <c r="H60" s="6"/>
      <c r="I60" s="62"/>
      <c r="J60" s="83">
        <f>F60*H70</f>
        <v>0</v>
      </c>
      <c r="K60">
        <f>B60*H70</f>
        <v>0</v>
      </c>
    </row>
    <row r="61" spans="1:11" ht="15.75" x14ac:dyDescent="0.25">
      <c r="A61" s="61"/>
      <c r="B61" s="66"/>
      <c r="C61" s="6"/>
      <c r="D61" s="6"/>
      <c r="E61" s="6"/>
      <c r="F61" s="67"/>
      <c r="G61" s="6"/>
      <c r="H61" s="6"/>
      <c r="I61" s="62"/>
    </row>
    <row r="62" spans="1:11" ht="15.75" x14ac:dyDescent="0.25">
      <c r="A62" s="61"/>
      <c r="B62" s="74" t="s">
        <v>61</v>
      </c>
      <c r="C62" s="75"/>
      <c r="D62" s="75"/>
      <c r="E62" s="75"/>
      <c r="F62" s="76"/>
      <c r="G62" s="6"/>
      <c r="H62" s="6"/>
      <c r="I62" s="62"/>
    </row>
    <row r="63" spans="1:11" ht="15.75" x14ac:dyDescent="0.25">
      <c r="A63" s="61"/>
      <c r="B63" s="66"/>
      <c r="C63" s="6"/>
      <c r="D63" s="6"/>
      <c r="E63" s="6"/>
      <c r="F63" s="67"/>
      <c r="G63" s="6"/>
      <c r="H63" s="6"/>
      <c r="I63" s="62"/>
    </row>
    <row r="64" spans="1:11" ht="31.5" x14ac:dyDescent="0.25">
      <c r="A64" s="61"/>
      <c r="B64" s="108" t="s">
        <v>111</v>
      </c>
      <c r="C64" s="108" t="s">
        <v>112</v>
      </c>
      <c r="D64" s="108" t="s">
        <v>113</v>
      </c>
      <c r="E64" s="69" t="s">
        <v>62</v>
      </c>
      <c r="F64" s="69" t="s">
        <v>20</v>
      </c>
      <c r="G64" s="6"/>
      <c r="H64" s="6"/>
      <c r="I64" s="62"/>
    </row>
    <row r="65" spans="1:11" ht="15.75" x14ac:dyDescent="0.25">
      <c r="A65" s="61"/>
      <c r="B65" s="109">
        <v>0</v>
      </c>
      <c r="C65" s="109">
        <v>0</v>
      </c>
      <c r="D65" s="109">
        <f>B65*C65</f>
        <v>0</v>
      </c>
      <c r="E65" s="72">
        <v>50</v>
      </c>
      <c r="F65" s="73">
        <f>D65*E65</f>
        <v>0</v>
      </c>
      <c r="G65" s="6"/>
      <c r="H65" s="6"/>
      <c r="I65" s="62"/>
    </row>
    <row r="66" spans="1:11" ht="15.75" x14ac:dyDescent="0.25">
      <c r="A66" s="61"/>
      <c r="B66" s="66"/>
      <c r="C66" s="6"/>
      <c r="D66" s="6"/>
      <c r="E66" s="6"/>
      <c r="F66" s="67"/>
      <c r="G66" s="6"/>
      <c r="H66" s="6"/>
      <c r="I66" s="62"/>
    </row>
    <row r="67" spans="1:11" ht="15.75" x14ac:dyDescent="0.25">
      <c r="A67" s="61"/>
      <c r="B67" s="74" t="s">
        <v>63</v>
      </c>
      <c r="C67" s="75"/>
      <c r="D67" s="75"/>
      <c r="E67" s="75"/>
      <c r="F67" s="76"/>
      <c r="G67" s="6"/>
      <c r="H67" s="6"/>
      <c r="I67" s="62"/>
    </row>
    <row r="68" spans="1:11" ht="15.75" x14ac:dyDescent="0.25">
      <c r="A68" s="61"/>
      <c r="B68" s="66"/>
      <c r="C68" s="6"/>
      <c r="D68" s="6"/>
      <c r="E68" s="6"/>
      <c r="F68" s="67"/>
      <c r="G68" s="6"/>
      <c r="H68" s="6"/>
      <c r="I68" s="62"/>
    </row>
    <row r="69" spans="1:11" ht="32.25" thickBot="1" x14ac:dyDescent="0.3">
      <c r="A69" s="61"/>
      <c r="B69" s="4" t="s">
        <v>64</v>
      </c>
      <c r="C69" s="69" t="s">
        <v>62</v>
      </c>
      <c r="D69" s="69" t="s">
        <v>20</v>
      </c>
      <c r="E69" s="6"/>
      <c r="F69" s="67"/>
      <c r="G69" s="6"/>
      <c r="H69" s="6"/>
      <c r="I69" s="62"/>
    </row>
    <row r="70" spans="1:11" ht="16.5" thickBot="1" x14ac:dyDescent="0.3">
      <c r="A70" s="77"/>
      <c r="B70" s="78">
        <f>(B65+C65)*2</f>
        <v>0</v>
      </c>
      <c r="C70" s="78">
        <v>5</v>
      </c>
      <c r="D70" s="79">
        <f>B70*C70</f>
        <v>0</v>
      </c>
      <c r="E70" s="80"/>
      <c r="F70" s="80"/>
      <c r="G70" s="81">
        <f>F60+F65+D70</f>
        <v>0</v>
      </c>
      <c r="H70" s="80">
        <v>1</v>
      </c>
      <c r="I70" s="82">
        <f>G70*H70</f>
        <v>0</v>
      </c>
    </row>
    <row r="71" spans="1:11" ht="12" thickBot="1" x14ac:dyDescent="0.25"/>
    <row r="72" spans="1:11" ht="15.75" x14ac:dyDescent="0.25">
      <c r="A72" s="58">
        <v>5</v>
      </c>
      <c r="B72" s="211"/>
      <c r="C72" s="211"/>
      <c r="D72" s="211"/>
      <c r="E72" s="59"/>
      <c r="F72" s="59"/>
      <c r="G72" s="59"/>
      <c r="H72" s="59"/>
      <c r="I72" s="60"/>
    </row>
    <row r="73" spans="1:11" ht="15.75" x14ac:dyDescent="0.25">
      <c r="A73" s="61"/>
      <c r="B73" s="6"/>
      <c r="C73" s="6"/>
      <c r="D73" s="6"/>
      <c r="E73" s="6"/>
      <c r="F73" s="6"/>
      <c r="G73" s="6"/>
      <c r="H73" s="6"/>
      <c r="I73" s="62"/>
    </row>
    <row r="74" spans="1:11" ht="15.75" x14ac:dyDescent="0.25">
      <c r="A74" s="61"/>
      <c r="B74" s="63" t="s">
        <v>30</v>
      </c>
      <c r="C74" s="64"/>
      <c r="D74" s="64"/>
      <c r="E74" s="64"/>
      <c r="F74" s="65"/>
      <c r="G74" s="6"/>
      <c r="H74" s="6"/>
      <c r="I74" s="62"/>
    </row>
    <row r="75" spans="1:11" ht="15.75" x14ac:dyDescent="0.25">
      <c r="A75" s="61"/>
      <c r="B75" s="66"/>
      <c r="C75" s="6"/>
      <c r="D75" s="6"/>
      <c r="E75" s="6"/>
      <c r="F75" s="67"/>
      <c r="G75" s="6"/>
      <c r="H75" s="6"/>
      <c r="I75" s="62"/>
    </row>
    <row r="76" spans="1:11" ht="47.25" x14ac:dyDescent="0.25">
      <c r="A76" s="61"/>
      <c r="B76" s="68" t="s">
        <v>55</v>
      </c>
      <c r="C76" s="69" t="s">
        <v>19</v>
      </c>
      <c r="D76" s="69" t="s">
        <v>56</v>
      </c>
      <c r="E76" s="69" t="s">
        <v>57</v>
      </c>
      <c r="F76" s="69" t="s">
        <v>20</v>
      </c>
      <c r="G76" s="70" t="s">
        <v>58</v>
      </c>
      <c r="H76" s="70" t="s">
        <v>59</v>
      </c>
      <c r="I76" s="71" t="s">
        <v>60</v>
      </c>
    </row>
    <row r="77" spans="1:11" ht="15.75" x14ac:dyDescent="0.25">
      <c r="A77" s="61"/>
      <c r="B77" s="4">
        <v>0</v>
      </c>
      <c r="C77" s="72">
        <v>60</v>
      </c>
      <c r="D77" s="4">
        <v>1.01</v>
      </c>
      <c r="E77" s="4">
        <v>1.03</v>
      </c>
      <c r="F77" s="73">
        <f>B77*C77*D77*E77</f>
        <v>0</v>
      </c>
      <c r="G77" s="6"/>
      <c r="H77" s="6"/>
      <c r="I77" s="62"/>
      <c r="J77" s="83">
        <f>F77*H87</f>
        <v>0</v>
      </c>
      <c r="K77">
        <f>B77*H87</f>
        <v>0</v>
      </c>
    </row>
    <row r="78" spans="1:11" ht="15.75" x14ac:dyDescent="0.25">
      <c r="A78" s="61"/>
      <c r="B78" s="66"/>
      <c r="C78" s="6"/>
      <c r="D78" s="6"/>
      <c r="E78" s="6"/>
      <c r="F78" s="67"/>
      <c r="G78" s="6"/>
      <c r="H78" s="6"/>
      <c r="I78" s="62"/>
    </row>
    <row r="79" spans="1:11" ht="15.75" x14ac:dyDescent="0.25">
      <c r="A79" s="61"/>
      <c r="B79" s="74" t="s">
        <v>61</v>
      </c>
      <c r="C79" s="75"/>
      <c r="D79" s="75"/>
      <c r="E79" s="75"/>
      <c r="F79" s="76"/>
      <c r="G79" s="6"/>
      <c r="H79" s="6"/>
      <c r="I79" s="62"/>
    </row>
    <row r="80" spans="1:11" ht="15.75" x14ac:dyDescent="0.25">
      <c r="A80" s="61"/>
      <c r="B80" s="66"/>
      <c r="C80" s="6"/>
      <c r="D80" s="6"/>
      <c r="E80" s="6"/>
      <c r="F80" s="67"/>
      <c r="G80" s="6"/>
      <c r="H80" s="6"/>
      <c r="I80" s="62"/>
    </row>
    <row r="81" spans="1:11" ht="31.5" x14ac:dyDescent="0.25">
      <c r="A81" s="61"/>
      <c r="B81" s="108" t="s">
        <v>111</v>
      </c>
      <c r="C81" s="108" t="s">
        <v>112</v>
      </c>
      <c r="D81" s="108" t="s">
        <v>113</v>
      </c>
      <c r="E81" s="69" t="s">
        <v>62</v>
      </c>
      <c r="F81" s="69" t="s">
        <v>20</v>
      </c>
      <c r="G81" s="6"/>
      <c r="H81" s="6"/>
      <c r="I81" s="62"/>
    </row>
    <row r="82" spans="1:11" ht="15.75" x14ac:dyDescent="0.25">
      <c r="A82" s="61"/>
      <c r="B82" s="109">
        <v>0</v>
      </c>
      <c r="C82" s="109">
        <v>0</v>
      </c>
      <c r="D82" s="109">
        <f>B82*C82</f>
        <v>0</v>
      </c>
      <c r="E82" s="72">
        <v>50</v>
      </c>
      <c r="F82" s="73">
        <f>D82*E82</f>
        <v>0</v>
      </c>
      <c r="G82" s="6"/>
      <c r="H82" s="6"/>
      <c r="I82" s="62"/>
    </row>
    <row r="83" spans="1:11" ht="15.75" x14ac:dyDescent="0.25">
      <c r="A83" s="61"/>
      <c r="B83" s="66"/>
      <c r="C83" s="6"/>
      <c r="D83" s="6"/>
      <c r="E83" s="6"/>
      <c r="F83" s="67"/>
      <c r="G83" s="6"/>
      <c r="H83" s="6"/>
      <c r="I83" s="62"/>
    </row>
    <row r="84" spans="1:11" ht="15.75" x14ac:dyDescent="0.25">
      <c r="A84" s="61"/>
      <c r="B84" s="74" t="s">
        <v>63</v>
      </c>
      <c r="C84" s="75"/>
      <c r="D84" s="75"/>
      <c r="E84" s="75"/>
      <c r="F84" s="76"/>
      <c r="G84" s="6"/>
      <c r="H84" s="6"/>
      <c r="I84" s="62"/>
    </row>
    <row r="85" spans="1:11" ht="15.75" x14ac:dyDescent="0.25">
      <c r="A85" s="61"/>
      <c r="B85" s="66"/>
      <c r="C85" s="6"/>
      <c r="D85" s="6"/>
      <c r="E85" s="6"/>
      <c r="F85" s="67"/>
      <c r="G85" s="6"/>
      <c r="H85" s="6"/>
      <c r="I85" s="62"/>
    </row>
    <row r="86" spans="1:11" ht="32.25" thickBot="1" x14ac:dyDescent="0.3">
      <c r="A86" s="61"/>
      <c r="B86" s="4" t="s">
        <v>64</v>
      </c>
      <c r="C86" s="69" t="s">
        <v>62</v>
      </c>
      <c r="D86" s="69" t="s">
        <v>20</v>
      </c>
      <c r="E86" s="6"/>
      <c r="F86" s="67"/>
      <c r="G86" s="6"/>
      <c r="H86" s="6"/>
      <c r="I86" s="62"/>
    </row>
    <row r="87" spans="1:11" ht="16.5" thickBot="1" x14ac:dyDescent="0.3">
      <c r="A87" s="77"/>
      <c r="B87" s="78">
        <f>(B82+C82)*2</f>
        <v>0</v>
      </c>
      <c r="C87" s="78">
        <v>5</v>
      </c>
      <c r="D87" s="79">
        <f>B87*C87</f>
        <v>0</v>
      </c>
      <c r="E87" s="80"/>
      <c r="F87" s="80"/>
      <c r="G87" s="81">
        <f>F77+F82+D87</f>
        <v>0</v>
      </c>
      <c r="H87" s="80">
        <v>1</v>
      </c>
      <c r="I87" s="82">
        <f>G87*H87</f>
        <v>0</v>
      </c>
    </row>
    <row r="88" spans="1:11" ht="12" thickBot="1" x14ac:dyDescent="0.25"/>
    <row r="89" spans="1:11" ht="15.75" x14ac:dyDescent="0.25">
      <c r="A89" s="58">
        <v>6</v>
      </c>
      <c r="B89" s="211"/>
      <c r="C89" s="211"/>
      <c r="D89" s="211"/>
      <c r="E89" s="59"/>
      <c r="F89" s="59"/>
      <c r="G89" s="59"/>
      <c r="H89" s="59"/>
      <c r="I89" s="60"/>
    </row>
    <row r="90" spans="1:11" ht="15.75" x14ac:dyDescent="0.25">
      <c r="A90" s="61"/>
      <c r="B90" s="6"/>
      <c r="C90" s="6"/>
      <c r="D90" s="6"/>
      <c r="E90" s="6"/>
      <c r="F90" s="6"/>
      <c r="G90" s="6"/>
      <c r="H90" s="6"/>
      <c r="I90" s="62"/>
    </row>
    <row r="91" spans="1:11" ht="15.75" x14ac:dyDescent="0.25">
      <c r="A91" s="61"/>
      <c r="B91" s="63" t="s">
        <v>30</v>
      </c>
      <c r="C91" s="64"/>
      <c r="D91" s="64"/>
      <c r="E91" s="64"/>
      <c r="F91" s="65"/>
      <c r="G91" s="6"/>
      <c r="H91" s="6"/>
      <c r="I91" s="62"/>
    </row>
    <row r="92" spans="1:11" ht="15.75" x14ac:dyDescent="0.25">
      <c r="A92" s="61"/>
      <c r="B92" s="66"/>
      <c r="C92" s="6"/>
      <c r="D92" s="6"/>
      <c r="E92" s="6"/>
      <c r="F92" s="67"/>
      <c r="G92" s="6"/>
      <c r="H92" s="6"/>
      <c r="I92" s="62"/>
    </row>
    <row r="93" spans="1:11" ht="47.25" x14ac:dyDescent="0.25">
      <c r="A93" s="61"/>
      <c r="B93" s="68" t="s">
        <v>55</v>
      </c>
      <c r="C93" s="69" t="s">
        <v>19</v>
      </c>
      <c r="D93" s="69" t="s">
        <v>56</v>
      </c>
      <c r="E93" s="69" t="s">
        <v>57</v>
      </c>
      <c r="F93" s="69" t="s">
        <v>20</v>
      </c>
      <c r="G93" s="70" t="s">
        <v>58</v>
      </c>
      <c r="H93" s="70" t="s">
        <v>59</v>
      </c>
      <c r="I93" s="71" t="s">
        <v>60</v>
      </c>
    </row>
    <row r="94" spans="1:11" ht="15.75" x14ac:dyDescent="0.25">
      <c r="A94" s="61"/>
      <c r="B94" s="4">
        <v>0</v>
      </c>
      <c r="C94" s="72">
        <v>60</v>
      </c>
      <c r="D94" s="4">
        <v>1.01</v>
      </c>
      <c r="E94" s="4">
        <v>1.03</v>
      </c>
      <c r="F94" s="73">
        <f>B94*C94*D94*E94</f>
        <v>0</v>
      </c>
      <c r="G94" s="6"/>
      <c r="H94" s="6"/>
      <c r="I94" s="62"/>
      <c r="J94" s="83">
        <f>F94*H104</f>
        <v>0</v>
      </c>
      <c r="K94">
        <f>B94*H104</f>
        <v>0</v>
      </c>
    </row>
    <row r="95" spans="1:11" ht="15.75" x14ac:dyDescent="0.25">
      <c r="A95" s="61"/>
      <c r="B95" s="66"/>
      <c r="C95" s="6"/>
      <c r="D95" s="6"/>
      <c r="E95" s="6"/>
      <c r="F95" s="67"/>
      <c r="G95" s="6"/>
      <c r="H95" s="6"/>
      <c r="I95" s="62"/>
    </row>
    <row r="96" spans="1:11" ht="15.75" x14ac:dyDescent="0.25">
      <c r="A96" s="61"/>
      <c r="B96" s="74" t="s">
        <v>61</v>
      </c>
      <c r="C96" s="75"/>
      <c r="D96" s="75"/>
      <c r="E96" s="75"/>
      <c r="F96" s="76"/>
      <c r="G96" s="6"/>
      <c r="H96" s="6"/>
      <c r="I96" s="62"/>
    </row>
    <row r="97" spans="1:11" ht="15.75" x14ac:dyDescent="0.25">
      <c r="A97" s="61"/>
      <c r="B97" s="66"/>
      <c r="C97" s="6"/>
      <c r="D97" s="6"/>
      <c r="E97" s="6"/>
      <c r="F97" s="67"/>
      <c r="G97" s="6"/>
      <c r="H97" s="6"/>
      <c r="I97" s="62"/>
    </row>
    <row r="98" spans="1:11" ht="31.5" x14ac:dyDescent="0.25">
      <c r="A98" s="61"/>
      <c r="B98" s="108" t="s">
        <v>111</v>
      </c>
      <c r="C98" s="108" t="s">
        <v>112</v>
      </c>
      <c r="D98" s="108" t="s">
        <v>113</v>
      </c>
      <c r="E98" s="69" t="s">
        <v>62</v>
      </c>
      <c r="F98" s="69" t="s">
        <v>20</v>
      </c>
      <c r="G98" s="6"/>
      <c r="H98" s="6"/>
      <c r="I98" s="62"/>
    </row>
    <row r="99" spans="1:11" ht="15.75" x14ac:dyDescent="0.25">
      <c r="A99" s="61"/>
      <c r="B99" s="109">
        <v>0</v>
      </c>
      <c r="C99" s="109">
        <v>0</v>
      </c>
      <c r="D99" s="109">
        <f>B99*C99</f>
        <v>0</v>
      </c>
      <c r="E99" s="72">
        <v>50</v>
      </c>
      <c r="F99" s="73">
        <f>D99*E99</f>
        <v>0</v>
      </c>
      <c r="G99" s="6"/>
      <c r="H99" s="6"/>
      <c r="I99" s="62"/>
    </row>
    <row r="100" spans="1:11" ht="15.75" x14ac:dyDescent="0.25">
      <c r="A100" s="61"/>
      <c r="B100" s="66"/>
      <c r="C100" s="6"/>
      <c r="D100" s="6"/>
      <c r="E100" s="6"/>
      <c r="F100" s="67"/>
      <c r="G100" s="6"/>
      <c r="H100" s="6"/>
      <c r="I100" s="62"/>
    </row>
    <row r="101" spans="1:11" ht="15.75" x14ac:dyDescent="0.25">
      <c r="A101" s="61"/>
      <c r="B101" s="74" t="s">
        <v>63</v>
      </c>
      <c r="C101" s="75"/>
      <c r="D101" s="75"/>
      <c r="E101" s="75"/>
      <c r="F101" s="76"/>
      <c r="G101" s="6"/>
      <c r="H101" s="6"/>
      <c r="I101" s="62"/>
    </row>
    <row r="102" spans="1:11" ht="15.75" x14ac:dyDescent="0.25">
      <c r="A102" s="61"/>
      <c r="B102" s="66"/>
      <c r="C102" s="6"/>
      <c r="D102" s="6"/>
      <c r="E102" s="6"/>
      <c r="F102" s="67"/>
      <c r="G102" s="6"/>
      <c r="H102" s="6"/>
      <c r="I102" s="62"/>
    </row>
    <row r="103" spans="1:11" ht="32.25" thickBot="1" x14ac:dyDescent="0.3">
      <c r="A103" s="61"/>
      <c r="B103" s="4" t="s">
        <v>64</v>
      </c>
      <c r="C103" s="69" t="s">
        <v>62</v>
      </c>
      <c r="D103" s="69" t="s">
        <v>20</v>
      </c>
      <c r="E103" s="6"/>
      <c r="F103" s="67"/>
      <c r="G103" s="6"/>
      <c r="H103" s="6"/>
      <c r="I103" s="62"/>
    </row>
    <row r="104" spans="1:11" ht="16.5" thickBot="1" x14ac:dyDescent="0.3">
      <c r="A104" s="77"/>
      <c r="B104" s="78">
        <f>(B99+C99)*2</f>
        <v>0</v>
      </c>
      <c r="C104" s="78">
        <v>5</v>
      </c>
      <c r="D104" s="79">
        <f>B104*C104</f>
        <v>0</v>
      </c>
      <c r="E104" s="80"/>
      <c r="F104" s="80"/>
      <c r="G104" s="81">
        <f>F94+F99+D104</f>
        <v>0</v>
      </c>
      <c r="H104" s="80">
        <v>1</v>
      </c>
      <c r="I104" s="82">
        <f>G104*H104</f>
        <v>0</v>
      </c>
    </row>
    <row r="105" spans="1:11" ht="12" thickBot="1" x14ac:dyDescent="0.25"/>
    <row r="106" spans="1:11" ht="15.75" x14ac:dyDescent="0.25">
      <c r="A106" s="58">
        <v>7</v>
      </c>
      <c r="B106" s="211"/>
      <c r="C106" s="211"/>
      <c r="D106" s="211"/>
      <c r="E106" s="59"/>
      <c r="F106" s="59"/>
      <c r="G106" s="59"/>
      <c r="H106" s="59"/>
      <c r="I106" s="60"/>
    </row>
    <row r="107" spans="1:11" ht="15.75" x14ac:dyDescent="0.25">
      <c r="A107" s="61"/>
      <c r="B107" s="6"/>
      <c r="C107" s="6"/>
      <c r="D107" s="6"/>
      <c r="E107" s="6"/>
      <c r="F107" s="6"/>
      <c r="G107" s="6"/>
      <c r="H107" s="6"/>
      <c r="I107" s="62"/>
    </row>
    <row r="108" spans="1:11" ht="15.75" x14ac:dyDescent="0.25">
      <c r="A108" s="61"/>
      <c r="B108" s="63" t="s">
        <v>30</v>
      </c>
      <c r="C108" s="64"/>
      <c r="D108" s="64"/>
      <c r="E108" s="64"/>
      <c r="F108" s="65"/>
      <c r="G108" s="6"/>
      <c r="H108" s="6"/>
      <c r="I108" s="62"/>
    </row>
    <row r="109" spans="1:11" ht="15.75" x14ac:dyDescent="0.25">
      <c r="A109" s="61"/>
      <c r="B109" s="66"/>
      <c r="C109" s="6"/>
      <c r="D109" s="6"/>
      <c r="E109" s="6"/>
      <c r="F109" s="67"/>
      <c r="G109" s="6"/>
      <c r="H109" s="6"/>
      <c r="I109" s="62"/>
    </row>
    <row r="110" spans="1:11" ht="47.25" x14ac:dyDescent="0.25">
      <c r="A110" s="61"/>
      <c r="B110" s="68" t="s">
        <v>55</v>
      </c>
      <c r="C110" s="69" t="s">
        <v>19</v>
      </c>
      <c r="D110" s="69" t="s">
        <v>56</v>
      </c>
      <c r="E110" s="69" t="s">
        <v>57</v>
      </c>
      <c r="F110" s="69" t="s">
        <v>20</v>
      </c>
      <c r="G110" s="70" t="s">
        <v>58</v>
      </c>
      <c r="H110" s="70" t="s">
        <v>59</v>
      </c>
      <c r="I110" s="71" t="s">
        <v>60</v>
      </c>
    </row>
    <row r="111" spans="1:11" ht="15.75" x14ac:dyDescent="0.25">
      <c r="A111" s="61"/>
      <c r="B111" s="4">
        <v>0</v>
      </c>
      <c r="C111" s="72">
        <v>60</v>
      </c>
      <c r="D111" s="4">
        <v>1.01</v>
      </c>
      <c r="E111" s="4">
        <v>1.03</v>
      </c>
      <c r="F111" s="73">
        <f>B111*C111*D111*E111</f>
        <v>0</v>
      </c>
      <c r="G111" s="6"/>
      <c r="H111" s="6"/>
      <c r="I111" s="62"/>
      <c r="J111" s="83">
        <f>F111*H121</f>
        <v>0</v>
      </c>
      <c r="K111">
        <f>B111*H121</f>
        <v>0</v>
      </c>
    </row>
    <row r="112" spans="1:11" ht="15.75" x14ac:dyDescent="0.25">
      <c r="A112" s="61"/>
      <c r="B112" s="66"/>
      <c r="C112" s="6"/>
      <c r="D112" s="6"/>
      <c r="E112" s="6"/>
      <c r="F112" s="67"/>
      <c r="G112" s="6"/>
      <c r="H112" s="6"/>
      <c r="I112" s="62"/>
    </row>
    <row r="113" spans="1:10" ht="15.75" x14ac:dyDescent="0.25">
      <c r="A113" s="61"/>
      <c r="B113" s="74" t="s">
        <v>61</v>
      </c>
      <c r="C113" s="75"/>
      <c r="D113" s="75"/>
      <c r="E113" s="75"/>
      <c r="F113" s="76"/>
      <c r="G113" s="6"/>
      <c r="H113" s="6"/>
      <c r="I113" s="62"/>
    </row>
    <row r="114" spans="1:10" ht="15.75" x14ac:dyDescent="0.25">
      <c r="A114" s="61"/>
      <c r="B114" s="66"/>
      <c r="C114" s="6"/>
      <c r="D114" s="6"/>
      <c r="E114" s="6"/>
      <c r="F114" s="67"/>
      <c r="G114" s="6"/>
      <c r="H114" s="6"/>
      <c r="I114" s="62"/>
    </row>
    <row r="115" spans="1:10" ht="31.5" x14ac:dyDescent="0.25">
      <c r="A115" s="61"/>
      <c r="B115" s="108" t="s">
        <v>111</v>
      </c>
      <c r="C115" s="108" t="s">
        <v>112</v>
      </c>
      <c r="D115" s="108" t="s">
        <v>113</v>
      </c>
      <c r="E115" s="69" t="s">
        <v>62</v>
      </c>
      <c r="F115" s="69" t="s">
        <v>20</v>
      </c>
      <c r="G115" s="6"/>
      <c r="H115" s="6"/>
      <c r="I115" s="62"/>
    </row>
    <row r="116" spans="1:10" ht="15.75" x14ac:dyDescent="0.25">
      <c r="A116" s="61"/>
      <c r="B116" s="109">
        <v>0</v>
      </c>
      <c r="C116" s="109">
        <v>0</v>
      </c>
      <c r="D116" s="109">
        <f>B116*C116</f>
        <v>0</v>
      </c>
      <c r="E116" s="72">
        <v>50</v>
      </c>
      <c r="F116" s="73">
        <f>D116*E116</f>
        <v>0</v>
      </c>
      <c r="G116" s="6"/>
      <c r="H116" s="6"/>
      <c r="I116" s="62"/>
    </row>
    <row r="117" spans="1:10" ht="15.75" x14ac:dyDescent="0.25">
      <c r="A117" s="61"/>
      <c r="B117" s="66"/>
      <c r="C117" s="6"/>
      <c r="D117" s="6"/>
      <c r="E117" s="6"/>
      <c r="F117" s="67"/>
      <c r="G117" s="6"/>
      <c r="H117" s="6"/>
      <c r="I117" s="62"/>
    </row>
    <row r="118" spans="1:10" ht="15.75" x14ac:dyDescent="0.25">
      <c r="A118" s="61"/>
      <c r="B118" s="74" t="s">
        <v>63</v>
      </c>
      <c r="C118" s="75"/>
      <c r="D118" s="75"/>
      <c r="E118" s="75"/>
      <c r="F118" s="76"/>
      <c r="G118" s="6"/>
      <c r="H118" s="6"/>
      <c r="I118" s="62"/>
    </row>
    <row r="119" spans="1:10" ht="15.75" x14ac:dyDescent="0.25">
      <c r="A119" s="61"/>
      <c r="B119" s="66"/>
      <c r="C119" s="6"/>
      <c r="D119" s="6"/>
      <c r="E119" s="6"/>
      <c r="F119" s="67"/>
      <c r="G119" s="6"/>
      <c r="H119" s="6"/>
      <c r="I119" s="62"/>
    </row>
    <row r="120" spans="1:10" ht="32.25" thickBot="1" x14ac:dyDescent="0.3">
      <c r="A120" s="61"/>
      <c r="B120" s="4" t="s">
        <v>64</v>
      </c>
      <c r="C120" s="69" t="s">
        <v>62</v>
      </c>
      <c r="D120" s="69" t="s">
        <v>20</v>
      </c>
      <c r="E120" s="6"/>
      <c r="F120" s="67"/>
      <c r="G120" s="6"/>
      <c r="H120" s="6"/>
      <c r="I120" s="62"/>
    </row>
    <row r="121" spans="1:10" ht="16.5" thickBot="1" x14ac:dyDescent="0.3">
      <c r="A121" s="77"/>
      <c r="B121" s="78">
        <f>(B116+C116)*2</f>
        <v>0</v>
      </c>
      <c r="C121" s="78">
        <v>5</v>
      </c>
      <c r="D121" s="79">
        <f>B121*C121</f>
        <v>0</v>
      </c>
      <c r="E121" s="80"/>
      <c r="F121" s="80"/>
      <c r="G121" s="81">
        <f>F111+F116+D121</f>
        <v>0</v>
      </c>
      <c r="H121" s="80">
        <v>1</v>
      </c>
      <c r="I121" s="82">
        <f>G121*H121</f>
        <v>0</v>
      </c>
    </row>
    <row r="122" spans="1:10" ht="12" thickBot="1" x14ac:dyDescent="0.25"/>
    <row r="123" spans="1:10" ht="15.75" x14ac:dyDescent="0.25">
      <c r="A123" s="58">
        <v>8</v>
      </c>
      <c r="B123" s="211"/>
      <c r="C123" s="211"/>
      <c r="D123" s="211"/>
      <c r="E123" s="59"/>
      <c r="F123" s="59"/>
      <c r="G123" s="59"/>
      <c r="H123" s="59"/>
      <c r="I123" s="60"/>
    </row>
    <row r="124" spans="1:10" ht="15.75" x14ac:dyDescent="0.25">
      <c r="A124" s="61"/>
      <c r="B124" s="6"/>
      <c r="C124" s="6"/>
      <c r="D124" s="6"/>
      <c r="E124" s="6"/>
      <c r="F124" s="6"/>
      <c r="G124" s="6"/>
      <c r="H124" s="6"/>
      <c r="I124" s="62"/>
    </row>
    <row r="125" spans="1:10" ht="15.75" x14ac:dyDescent="0.25">
      <c r="A125" s="61"/>
      <c r="B125" s="63" t="s">
        <v>30</v>
      </c>
      <c r="C125" s="64"/>
      <c r="D125" s="64"/>
      <c r="E125" s="64"/>
      <c r="F125" s="65"/>
      <c r="G125" s="6"/>
      <c r="H125" s="6"/>
      <c r="I125" s="62"/>
    </row>
    <row r="126" spans="1:10" ht="15.75" x14ac:dyDescent="0.25">
      <c r="A126" s="61"/>
      <c r="B126" s="66"/>
      <c r="C126" s="6"/>
      <c r="D126" s="6"/>
      <c r="E126" s="6"/>
      <c r="F126" s="67"/>
      <c r="G126" s="6"/>
      <c r="H126" s="6"/>
      <c r="I126" s="62"/>
    </row>
    <row r="127" spans="1:10" ht="47.25" x14ac:dyDescent="0.25">
      <c r="A127" s="61"/>
      <c r="B127" s="68" t="s">
        <v>55</v>
      </c>
      <c r="C127" s="69" t="s">
        <v>19</v>
      </c>
      <c r="D127" s="69" t="s">
        <v>56</v>
      </c>
      <c r="E127" s="69" t="s">
        <v>57</v>
      </c>
      <c r="F127" s="69" t="s">
        <v>20</v>
      </c>
      <c r="G127" s="70" t="s">
        <v>58</v>
      </c>
      <c r="H127" s="70" t="s">
        <v>59</v>
      </c>
      <c r="I127" s="71" t="s">
        <v>60</v>
      </c>
    </row>
    <row r="128" spans="1:10" ht="15.75" x14ac:dyDescent="0.25">
      <c r="A128" s="61"/>
      <c r="B128" s="4">
        <v>0</v>
      </c>
      <c r="C128" s="72">
        <v>60</v>
      </c>
      <c r="D128" s="4">
        <v>1.01</v>
      </c>
      <c r="E128" s="4">
        <v>1.03</v>
      </c>
      <c r="F128" s="73">
        <f>B128*C128*D128*E128</f>
        <v>0</v>
      </c>
      <c r="G128" s="6"/>
      <c r="H128" s="6"/>
      <c r="I128" s="62"/>
      <c r="J128" s="83">
        <f>F128*H138</f>
        <v>0</v>
      </c>
    </row>
    <row r="129" spans="1:9" ht="15.75" x14ac:dyDescent="0.25">
      <c r="A129" s="61"/>
      <c r="B129" s="66"/>
      <c r="C129" s="6"/>
      <c r="D129" s="6"/>
      <c r="E129" s="6"/>
      <c r="F129" s="67"/>
      <c r="G129" s="6"/>
      <c r="H129" s="6"/>
      <c r="I129" s="62"/>
    </row>
    <row r="130" spans="1:9" ht="15.75" x14ac:dyDescent="0.25">
      <c r="A130" s="61"/>
      <c r="B130" s="74" t="s">
        <v>61</v>
      </c>
      <c r="C130" s="75"/>
      <c r="D130" s="75"/>
      <c r="E130" s="75"/>
      <c r="F130" s="76"/>
      <c r="G130" s="6"/>
      <c r="H130" s="6"/>
      <c r="I130" s="62"/>
    </row>
    <row r="131" spans="1:9" ht="15.75" x14ac:dyDescent="0.25">
      <c r="A131" s="61"/>
      <c r="B131" s="66"/>
      <c r="C131" s="6"/>
      <c r="D131" s="6"/>
      <c r="E131" s="6"/>
      <c r="F131" s="67"/>
      <c r="G131" s="6"/>
      <c r="H131" s="6"/>
      <c r="I131" s="62"/>
    </row>
    <row r="132" spans="1:9" ht="31.5" x14ac:dyDescent="0.25">
      <c r="A132" s="61"/>
      <c r="B132" s="108" t="s">
        <v>111</v>
      </c>
      <c r="C132" s="108" t="s">
        <v>112</v>
      </c>
      <c r="D132" s="108" t="s">
        <v>113</v>
      </c>
      <c r="E132" s="69" t="s">
        <v>62</v>
      </c>
      <c r="F132" s="69" t="s">
        <v>20</v>
      </c>
      <c r="G132" s="6"/>
      <c r="H132" s="6"/>
      <c r="I132" s="62"/>
    </row>
    <row r="133" spans="1:9" ht="15.75" x14ac:dyDescent="0.25">
      <c r="A133" s="61"/>
      <c r="B133" s="109">
        <v>0</v>
      </c>
      <c r="C133" s="109">
        <v>0</v>
      </c>
      <c r="D133" s="109">
        <f>B133*C133</f>
        <v>0</v>
      </c>
      <c r="E133" s="72">
        <v>50</v>
      </c>
      <c r="F133" s="73">
        <f>D133*E133</f>
        <v>0</v>
      </c>
      <c r="G133" s="6"/>
      <c r="H133" s="6"/>
      <c r="I133" s="62"/>
    </row>
    <row r="134" spans="1:9" ht="15.75" x14ac:dyDescent="0.25">
      <c r="A134" s="61"/>
      <c r="B134" s="66"/>
      <c r="C134" s="6"/>
      <c r="D134" s="6"/>
      <c r="E134" s="6"/>
      <c r="F134" s="67"/>
      <c r="G134" s="6"/>
      <c r="H134" s="6"/>
      <c r="I134" s="62"/>
    </row>
    <row r="135" spans="1:9" ht="15.75" x14ac:dyDescent="0.25">
      <c r="A135" s="61"/>
      <c r="B135" s="74" t="s">
        <v>63</v>
      </c>
      <c r="C135" s="75"/>
      <c r="D135" s="75"/>
      <c r="E135" s="75"/>
      <c r="F135" s="76"/>
      <c r="G135" s="6"/>
      <c r="H135" s="6"/>
      <c r="I135" s="62"/>
    </row>
    <row r="136" spans="1:9" ht="15.75" x14ac:dyDescent="0.25">
      <c r="A136" s="61"/>
      <c r="B136" s="66"/>
      <c r="C136" s="6"/>
      <c r="D136" s="6"/>
      <c r="E136" s="6"/>
      <c r="F136" s="67"/>
      <c r="G136" s="6"/>
      <c r="H136" s="6"/>
      <c r="I136" s="62"/>
    </row>
    <row r="137" spans="1:9" ht="32.25" thickBot="1" x14ac:dyDescent="0.3">
      <c r="A137" s="61"/>
      <c r="B137" s="4" t="s">
        <v>64</v>
      </c>
      <c r="C137" s="69" t="s">
        <v>62</v>
      </c>
      <c r="D137" s="69" t="s">
        <v>20</v>
      </c>
      <c r="E137" s="6"/>
      <c r="F137" s="67"/>
      <c r="G137" s="6"/>
      <c r="H137" s="6"/>
      <c r="I137" s="62"/>
    </row>
    <row r="138" spans="1:9" ht="16.5" thickBot="1" x14ac:dyDescent="0.3">
      <c r="A138" s="77"/>
      <c r="B138" s="78">
        <f>(B133+C133)*2</f>
        <v>0</v>
      </c>
      <c r="C138" s="78">
        <v>5</v>
      </c>
      <c r="D138" s="79">
        <f>B138*C138</f>
        <v>0</v>
      </c>
      <c r="E138" s="80"/>
      <c r="F138" s="80"/>
      <c r="G138" s="81">
        <f>F128+F133+D138</f>
        <v>0</v>
      </c>
      <c r="H138" s="80">
        <v>1</v>
      </c>
      <c r="I138" s="82">
        <f>G138*H138</f>
        <v>0</v>
      </c>
    </row>
    <row r="139" spans="1:9" ht="12" thickBot="1" x14ac:dyDescent="0.25"/>
    <row r="140" spans="1:9" ht="15.75" x14ac:dyDescent="0.25">
      <c r="A140" s="58">
        <v>9</v>
      </c>
      <c r="B140" s="211"/>
      <c r="C140" s="211"/>
      <c r="D140" s="211"/>
      <c r="E140" s="59"/>
      <c r="F140" s="59"/>
      <c r="G140" s="59"/>
      <c r="H140" s="59"/>
      <c r="I140" s="60"/>
    </row>
    <row r="141" spans="1:9" ht="15.75" x14ac:dyDescent="0.25">
      <c r="A141" s="61"/>
      <c r="B141" s="6"/>
      <c r="C141" s="6"/>
      <c r="D141" s="6"/>
      <c r="E141" s="6"/>
      <c r="F141" s="6"/>
      <c r="G141" s="6"/>
      <c r="H141" s="6"/>
      <c r="I141" s="62"/>
    </row>
    <row r="142" spans="1:9" ht="15.75" x14ac:dyDescent="0.25">
      <c r="A142" s="61"/>
      <c r="B142" s="63" t="s">
        <v>30</v>
      </c>
      <c r="C142" s="64"/>
      <c r="D142" s="64"/>
      <c r="E142" s="64"/>
      <c r="F142" s="65"/>
      <c r="G142" s="6"/>
      <c r="H142" s="6"/>
      <c r="I142" s="62"/>
    </row>
    <row r="143" spans="1:9" ht="15.75" x14ac:dyDescent="0.25">
      <c r="A143" s="61"/>
      <c r="B143" s="66"/>
      <c r="C143" s="6"/>
      <c r="D143" s="6"/>
      <c r="E143" s="6"/>
      <c r="F143" s="67"/>
      <c r="G143" s="6"/>
      <c r="H143" s="6"/>
      <c r="I143" s="62"/>
    </row>
    <row r="144" spans="1:9" ht="47.25" x14ac:dyDescent="0.25">
      <c r="A144" s="61"/>
      <c r="B144" s="68" t="s">
        <v>55</v>
      </c>
      <c r="C144" s="69" t="s">
        <v>19</v>
      </c>
      <c r="D144" s="69" t="s">
        <v>56</v>
      </c>
      <c r="E144" s="69" t="s">
        <v>57</v>
      </c>
      <c r="F144" s="69" t="s">
        <v>20</v>
      </c>
      <c r="G144" s="70" t="s">
        <v>58</v>
      </c>
      <c r="H144" s="70" t="s">
        <v>59</v>
      </c>
      <c r="I144" s="71" t="s">
        <v>60</v>
      </c>
    </row>
    <row r="145" spans="1:11" ht="15.75" x14ac:dyDescent="0.25">
      <c r="A145" s="61"/>
      <c r="B145" s="4">
        <v>0</v>
      </c>
      <c r="C145" s="72">
        <v>60</v>
      </c>
      <c r="D145" s="4">
        <v>1.01</v>
      </c>
      <c r="E145" s="4">
        <v>1.03</v>
      </c>
      <c r="F145" s="73">
        <f>B145*C145*D145*E145</f>
        <v>0</v>
      </c>
      <c r="G145" s="6"/>
      <c r="H145" s="6"/>
      <c r="I145" s="62"/>
      <c r="J145" s="83">
        <f>F145*H155</f>
        <v>0</v>
      </c>
      <c r="K145">
        <f>B145*H155</f>
        <v>0</v>
      </c>
    </row>
    <row r="146" spans="1:11" ht="15.75" x14ac:dyDescent="0.25">
      <c r="A146" s="61"/>
      <c r="B146" s="66"/>
      <c r="C146" s="6"/>
      <c r="D146" s="6"/>
      <c r="E146" s="6"/>
      <c r="F146" s="67"/>
      <c r="G146" s="6"/>
      <c r="H146" s="6"/>
      <c r="I146" s="62"/>
    </row>
    <row r="147" spans="1:11" ht="15.75" x14ac:dyDescent="0.25">
      <c r="A147" s="61"/>
      <c r="B147" s="74" t="s">
        <v>61</v>
      </c>
      <c r="C147" s="75"/>
      <c r="D147" s="75"/>
      <c r="E147" s="75"/>
      <c r="F147" s="76"/>
      <c r="G147" s="6"/>
      <c r="H147" s="6"/>
      <c r="I147" s="62"/>
    </row>
    <row r="148" spans="1:11" ht="15.75" x14ac:dyDescent="0.25">
      <c r="A148" s="61"/>
      <c r="B148" s="66"/>
      <c r="C148" s="6"/>
      <c r="D148" s="6"/>
      <c r="E148" s="6"/>
      <c r="F148" s="67"/>
      <c r="G148" s="6"/>
      <c r="H148" s="6"/>
      <c r="I148" s="62"/>
    </row>
    <row r="149" spans="1:11" ht="31.5" x14ac:dyDescent="0.25">
      <c r="A149" s="61"/>
      <c r="B149" s="108" t="s">
        <v>111</v>
      </c>
      <c r="C149" s="108" t="s">
        <v>112</v>
      </c>
      <c r="D149" s="108" t="s">
        <v>113</v>
      </c>
      <c r="E149" s="69" t="s">
        <v>62</v>
      </c>
      <c r="F149" s="69" t="s">
        <v>20</v>
      </c>
      <c r="G149" s="6"/>
      <c r="H149" s="6"/>
      <c r="I149" s="62"/>
    </row>
    <row r="150" spans="1:11" ht="15.75" x14ac:dyDescent="0.25">
      <c r="A150" s="61"/>
      <c r="B150" s="109">
        <v>0</v>
      </c>
      <c r="C150" s="109">
        <v>0</v>
      </c>
      <c r="D150" s="109">
        <f>B150*C150</f>
        <v>0</v>
      </c>
      <c r="E150" s="72">
        <v>50</v>
      </c>
      <c r="F150" s="73">
        <f>D150*E150</f>
        <v>0</v>
      </c>
      <c r="G150" s="6"/>
      <c r="H150" s="6"/>
      <c r="I150" s="62"/>
    </row>
    <row r="151" spans="1:11" ht="15.75" x14ac:dyDescent="0.25">
      <c r="A151" s="61"/>
      <c r="B151" s="66"/>
      <c r="C151" s="6"/>
      <c r="D151" s="6"/>
      <c r="E151" s="6"/>
      <c r="F151" s="67"/>
      <c r="G151" s="6"/>
      <c r="H151" s="6"/>
      <c r="I151" s="62"/>
    </row>
    <row r="152" spans="1:11" ht="15.75" x14ac:dyDescent="0.25">
      <c r="A152" s="61"/>
      <c r="B152" s="74" t="s">
        <v>63</v>
      </c>
      <c r="C152" s="75"/>
      <c r="D152" s="75"/>
      <c r="E152" s="75"/>
      <c r="F152" s="76"/>
      <c r="G152" s="6"/>
      <c r="H152" s="6"/>
      <c r="I152" s="62"/>
    </row>
    <row r="153" spans="1:11" ht="15.75" x14ac:dyDescent="0.25">
      <c r="A153" s="61"/>
      <c r="B153" s="66"/>
      <c r="C153" s="6"/>
      <c r="D153" s="6"/>
      <c r="E153" s="6"/>
      <c r="F153" s="67"/>
      <c r="G153" s="6"/>
      <c r="H153" s="6"/>
      <c r="I153" s="62"/>
    </row>
    <row r="154" spans="1:11" ht="32.25" thickBot="1" x14ac:dyDescent="0.3">
      <c r="A154" s="61"/>
      <c r="B154" s="4" t="s">
        <v>64</v>
      </c>
      <c r="C154" s="69" t="s">
        <v>62</v>
      </c>
      <c r="D154" s="69" t="s">
        <v>20</v>
      </c>
      <c r="E154" s="6"/>
      <c r="F154" s="67"/>
      <c r="G154" s="6"/>
      <c r="H154" s="6"/>
      <c r="I154" s="62"/>
    </row>
    <row r="155" spans="1:11" ht="16.5" thickBot="1" x14ac:dyDescent="0.3">
      <c r="A155" s="77"/>
      <c r="B155" s="78">
        <f>(B150+C150)*2</f>
        <v>0</v>
      </c>
      <c r="C155" s="78">
        <v>5</v>
      </c>
      <c r="D155" s="79">
        <f>B155*C155</f>
        <v>0</v>
      </c>
      <c r="E155" s="80"/>
      <c r="F155" s="80"/>
      <c r="G155" s="81">
        <f>F145+F150+D155</f>
        <v>0</v>
      </c>
      <c r="H155" s="80">
        <v>1</v>
      </c>
      <c r="I155" s="82">
        <f>G155*H155</f>
        <v>0</v>
      </c>
    </row>
    <row r="156" spans="1:11" x14ac:dyDescent="0.2">
      <c r="H156" t="s">
        <v>68</v>
      </c>
      <c r="I156" s="83">
        <f>SUM(I19:I155)</f>
        <v>0</v>
      </c>
      <c r="J156" s="83">
        <f>SUM(J9:J155)</f>
        <v>0</v>
      </c>
      <c r="K156" t="s">
        <v>66</v>
      </c>
    </row>
    <row r="157" spans="1:11" x14ac:dyDescent="0.2">
      <c r="J157" s="83">
        <f>I156-J156</f>
        <v>0</v>
      </c>
      <c r="K157" t="s">
        <v>67</v>
      </c>
    </row>
    <row r="158" spans="1:11" x14ac:dyDescent="0.2">
      <c r="J158">
        <f>SUM(K9:K155)</f>
        <v>0</v>
      </c>
      <c r="K158" t="s">
        <v>121</v>
      </c>
    </row>
  </sheetData>
  <mergeCells count="10">
    <mergeCell ref="B72:D72"/>
    <mergeCell ref="B89:D89"/>
    <mergeCell ref="B106:D106"/>
    <mergeCell ref="B123:D123"/>
    <mergeCell ref="B140:D140"/>
    <mergeCell ref="B4:D4"/>
    <mergeCell ref="B21:D21"/>
    <mergeCell ref="B38:D38"/>
    <mergeCell ref="B3:D3"/>
    <mergeCell ref="B55:D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3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6" sqref="A6:XFD6"/>
    </sheetView>
  </sheetViews>
  <sheetFormatPr defaultRowHeight="11.25" x14ac:dyDescent="0.2"/>
  <cols>
    <col min="1" max="1" width="9.33203125" customWidth="1"/>
    <col min="2" max="2" width="30" customWidth="1"/>
    <col min="3" max="3" width="28.6640625" customWidth="1"/>
    <col min="4" max="4" width="12.33203125" customWidth="1"/>
    <col min="5" max="5" width="18.1640625" customWidth="1"/>
    <col min="6" max="6" width="31.5" customWidth="1"/>
    <col min="7" max="7" width="16" customWidth="1"/>
    <col min="8" max="8" width="13.33203125" customWidth="1"/>
    <col min="9" max="9" width="10.33203125" customWidth="1"/>
    <col min="10" max="10" width="12" customWidth="1"/>
    <col min="11" max="11" width="17.33203125" customWidth="1"/>
    <col min="12" max="12" width="19.5" customWidth="1"/>
    <col min="13" max="13" width="35.83203125" customWidth="1"/>
    <col min="14" max="14" width="32.6640625" customWidth="1"/>
    <col min="15" max="15" width="36.6640625" customWidth="1"/>
    <col min="16" max="16" width="30.1640625" customWidth="1"/>
    <col min="17" max="17" width="38.6640625" customWidth="1"/>
    <col min="18" max="18" width="33" customWidth="1"/>
    <col min="19" max="19" width="16.33203125" customWidth="1"/>
    <col min="20" max="20" width="18" customWidth="1"/>
    <col min="21" max="22" width="16.5" customWidth="1"/>
  </cols>
  <sheetData>
    <row r="1" spans="1:22" ht="19.5" customHeight="1" x14ac:dyDescent="0.2">
      <c r="A1" s="213"/>
      <c r="B1" s="213"/>
      <c r="C1" s="213"/>
      <c r="D1" s="213"/>
      <c r="E1" s="213"/>
    </row>
    <row r="2" spans="1:22" s="92" customFormat="1" ht="64.5" customHeight="1" x14ac:dyDescent="0.2">
      <c r="A2" s="99" t="s">
        <v>27</v>
      </c>
      <c r="B2" s="100" t="s">
        <v>28</v>
      </c>
      <c r="C2" s="100" t="s">
        <v>2</v>
      </c>
      <c r="D2" s="100" t="s">
        <v>95</v>
      </c>
      <c r="E2" s="100" t="s">
        <v>94</v>
      </c>
      <c r="F2" s="100" t="s">
        <v>30</v>
      </c>
      <c r="G2" s="100" t="s">
        <v>31</v>
      </c>
      <c r="H2" s="100" t="s">
        <v>72</v>
      </c>
      <c r="I2" s="100" t="s">
        <v>82</v>
      </c>
      <c r="J2" s="100" t="s">
        <v>90</v>
      </c>
      <c r="K2" s="100" t="s">
        <v>92</v>
      </c>
      <c r="L2" s="100" t="s">
        <v>93</v>
      </c>
      <c r="M2" s="100" t="s">
        <v>91</v>
      </c>
      <c r="N2" s="100" t="s">
        <v>102</v>
      </c>
      <c r="O2" s="100" t="s">
        <v>103</v>
      </c>
      <c r="P2" s="100" t="s">
        <v>104</v>
      </c>
      <c r="Q2" s="100" t="s">
        <v>96</v>
      </c>
      <c r="R2" s="100" t="s">
        <v>97</v>
      </c>
      <c r="S2" s="100" t="s">
        <v>98</v>
      </c>
      <c r="T2" s="100" t="s">
        <v>99</v>
      </c>
      <c r="U2" s="100" t="s">
        <v>100</v>
      </c>
      <c r="V2" s="101" t="s">
        <v>101</v>
      </c>
    </row>
    <row r="3" spans="1:22" ht="15" x14ac:dyDescent="0.25">
      <c r="A3" s="97">
        <v>1</v>
      </c>
      <c r="B3" s="86" t="s">
        <v>246</v>
      </c>
      <c r="C3" s="86" t="s">
        <v>239</v>
      </c>
      <c r="D3" s="86">
        <v>4</v>
      </c>
      <c r="E3" s="86">
        <v>6</v>
      </c>
      <c r="F3" s="95" t="s">
        <v>84</v>
      </c>
      <c r="G3" s="86" t="s">
        <v>233</v>
      </c>
      <c r="H3" s="86">
        <v>0.1</v>
      </c>
      <c r="I3" s="86">
        <v>0</v>
      </c>
      <c r="J3" s="86">
        <v>0</v>
      </c>
      <c r="K3" s="86">
        <v>229.6</v>
      </c>
      <c r="L3" s="86">
        <v>0</v>
      </c>
      <c r="M3" s="86">
        <v>71</v>
      </c>
      <c r="N3" s="86">
        <v>25</v>
      </c>
      <c r="O3" s="94">
        <f>VLOOKUP(E3,'Прайс Лазер'!$I$4:$J$21,2,0)</f>
        <v>3.4499999999999997</v>
      </c>
      <c r="P3" s="86">
        <f>HLOOKUP('Оценка лазера'!$E3,'Прайс Лазер'!$C$26:$T$34,1+VLOOKUP(F3,'Прайс Лазер'!$A$26:$B$34,2,0),0)</f>
        <v>74.75</v>
      </c>
      <c r="Q3" s="86">
        <f t="shared" ref="Q3:Q18" si="0">H3*M3</f>
        <v>7.1000000000000005</v>
      </c>
      <c r="R3" s="86">
        <f t="shared" ref="R3:R18" si="1">I3*N3</f>
        <v>0</v>
      </c>
      <c r="S3" s="86">
        <f t="shared" ref="S3:S18" si="2">(K3+L3)/1000*1.1*P3+(J3*O3)</f>
        <v>18.87886</v>
      </c>
      <c r="T3" s="86">
        <f t="shared" ref="T3:T18" si="3">Q3+R3+S3</f>
        <v>25.978860000000001</v>
      </c>
      <c r="U3" s="86">
        <f t="shared" ref="U3:U18" si="4">D3*T3</f>
        <v>103.91544</v>
      </c>
      <c r="V3" s="98">
        <f t="shared" ref="V3:V18" si="5">U3/1.2</f>
        <v>86.59620000000001</v>
      </c>
    </row>
    <row r="4" spans="1:22" ht="15" x14ac:dyDescent="0.25">
      <c r="A4" s="97">
        <f>A3+1</f>
        <v>2</v>
      </c>
      <c r="B4" s="86" t="s">
        <v>212</v>
      </c>
      <c r="C4" s="86" t="s">
        <v>213</v>
      </c>
      <c r="D4" s="86">
        <v>1</v>
      </c>
      <c r="E4" s="86">
        <v>1.5</v>
      </c>
      <c r="F4" s="95" t="s">
        <v>83</v>
      </c>
      <c r="G4" s="86" t="s">
        <v>214</v>
      </c>
      <c r="H4" s="86">
        <v>0.47</v>
      </c>
      <c r="I4" s="86">
        <v>2</v>
      </c>
      <c r="J4" s="86">
        <v>4</v>
      </c>
      <c r="K4" s="86">
        <v>799.27</v>
      </c>
      <c r="L4" s="86">
        <v>43.98</v>
      </c>
      <c r="M4" s="86">
        <v>93</v>
      </c>
      <c r="N4" s="86">
        <v>25</v>
      </c>
      <c r="O4" s="94">
        <f>VLOOKUP(E4,'Прайс Лазер'!$I$4:$J$21,2,0)</f>
        <v>1.7249999999999999</v>
      </c>
      <c r="P4" s="86">
        <f>HLOOKUP('Оценка лазера'!$E4,'Прайс Лазер'!$C$26:$T$34,1+VLOOKUP(F4,'Прайс Лазер'!$A$26:$B$34,2,0),0)</f>
        <v>26.45</v>
      </c>
      <c r="Q4" s="86">
        <f t="shared" si="0"/>
        <v>43.71</v>
      </c>
      <c r="R4" s="86">
        <f t="shared" si="1"/>
        <v>50</v>
      </c>
      <c r="S4" s="86">
        <f t="shared" si="2"/>
        <v>31.434358750000001</v>
      </c>
      <c r="T4" s="86">
        <f t="shared" si="3"/>
        <v>125.14435875000001</v>
      </c>
      <c r="U4" s="86">
        <f t="shared" si="4"/>
        <v>125.14435875000001</v>
      </c>
      <c r="V4" s="98">
        <f t="shared" si="5"/>
        <v>104.28696562500001</v>
      </c>
    </row>
    <row r="5" spans="1:22" ht="15" x14ac:dyDescent="0.25">
      <c r="A5" s="97">
        <f t="shared" ref="A5:A68" si="6">A4+1</f>
        <v>3</v>
      </c>
      <c r="B5" s="86" t="s">
        <v>234</v>
      </c>
      <c r="C5" s="86" t="s">
        <v>204</v>
      </c>
      <c r="D5" s="86">
        <v>2</v>
      </c>
      <c r="E5" s="86">
        <v>4</v>
      </c>
      <c r="F5" s="95" t="s">
        <v>84</v>
      </c>
      <c r="G5" s="86" t="s">
        <v>233</v>
      </c>
      <c r="H5" s="86">
        <v>6.11</v>
      </c>
      <c r="I5" s="86">
        <v>0</v>
      </c>
      <c r="J5" s="86">
        <v>0</v>
      </c>
      <c r="K5" s="86">
        <v>2220</v>
      </c>
      <c r="L5" s="86">
        <v>0</v>
      </c>
      <c r="M5" s="86">
        <v>71</v>
      </c>
      <c r="N5" s="86">
        <v>25</v>
      </c>
      <c r="O5" s="94">
        <f>VLOOKUP(E5,'Прайс Лазер'!$I$4:$J$21,2,0)</f>
        <v>3.4499999999999997</v>
      </c>
      <c r="P5" s="86">
        <f>HLOOKUP('Оценка лазера'!$E5,'Прайс Лазер'!$C$26:$T$34,1+VLOOKUP(F5,'Прайс Лазер'!$A$26:$B$34,2,0),0)</f>
        <v>51.749999999999993</v>
      </c>
      <c r="Q5" s="86">
        <f t="shared" si="0"/>
        <v>433.81</v>
      </c>
      <c r="R5" s="86">
        <f t="shared" si="1"/>
        <v>0</v>
      </c>
      <c r="S5" s="86">
        <f t="shared" si="2"/>
        <v>126.37350000000002</v>
      </c>
      <c r="T5" s="86">
        <f t="shared" si="3"/>
        <v>560.18349999999998</v>
      </c>
      <c r="U5" s="86">
        <f t="shared" si="4"/>
        <v>1120.367</v>
      </c>
      <c r="V5" s="98">
        <f t="shared" si="5"/>
        <v>933.63916666666671</v>
      </c>
    </row>
    <row r="6" spans="1:22" ht="15" x14ac:dyDescent="0.25">
      <c r="A6" s="97">
        <f t="shared" si="6"/>
        <v>4</v>
      </c>
      <c r="B6" s="86" t="s">
        <v>223</v>
      </c>
      <c r="C6" s="86" t="s">
        <v>224</v>
      </c>
      <c r="D6" s="86">
        <v>2</v>
      </c>
      <c r="E6" s="86">
        <v>4</v>
      </c>
      <c r="F6" s="95" t="s">
        <v>84</v>
      </c>
      <c r="G6" s="86" t="s">
        <v>214</v>
      </c>
      <c r="H6" s="86">
        <v>10.94</v>
      </c>
      <c r="I6" s="86">
        <v>2</v>
      </c>
      <c r="J6" s="86">
        <v>0</v>
      </c>
      <c r="K6" s="86">
        <v>2672.88</v>
      </c>
      <c r="L6" s="86">
        <v>0</v>
      </c>
      <c r="M6" s="86">
        <v>71</v>
      </c>
      <c r="N6" s="86">
        <v>25</v>
      </c>
      <c r="O6" s="94">
        <f>VLOOKUP(E6,'Прайс Лазер'!$I$4:$J$21,2,0)</f>
        <v>3.4499999999999997</v>
      </c>
      <c r="P6" s="86">
        <f>HLOOKUP('Оценка лазера'!$E6,'Прайс Лазер'!$C$26:$T$34,1+VLOOKUP(F6,'Прайс Лазер'!$A$26:$B$34,2,0),0)</f>
        <v>51.749999999999993</v>
      </c>
      <c r="Q6" s="86">
        <f t="shared" si="0"/>
        <v>776.74</v>
      </c>
      <c r="R6" s="86">
        <f t="shared" si="1"/>
        <v>50</v>
      </c>
      <c r="S6" s="86">
        <f t="shared" si="2"/>
        <v>152.153694</v>
      </c>
      <c r="T6" s="86">
        <f t="shared" si="3"/>
        <v>978.89369399999998</v>
      </c>
      <c r="U6" s="86">
        <f t="shared" si="4"/>
        <v>1957.787388</v>
      </c>
      <c r="V6" s="98">
        <f t="shared" si="5"/>
        <v>1631.4894899999999</v>
      </c>
    </row>
    <row r="7" spans="1:22" ht="15" x14ac:dyDescent="0.25">
      <c r="A7" s="97">
        <f t="shared" si="6"/>
        <v>5</v>
      </c>
      <c r="B7" s="86" t="s">
        <v>229</v>
      </c>
      <c r="C7" s="86" t="s">
        <v>218</v>
      </c>
      <c r="D7" s="86">
        <v>1</v>
      </c>
      <c r="E7" s="86">
        <v>6</v>
      </c>
      <c r="F7" s="95" t="s">
        <v>84</v>
      </c>
      <c r="G7" s="86" t="s">
        <v>214</v>
      </c>
      <c r="H7" s="86">
        <v>5.2</v>
      </c>
      <c r="I7" s="86">
        <v>2</v>
      </c>
      <c r="J7" s="86">
        <v>8</v>
      </c>
      <c r="K7" s="86">
        <v>2030.55</v>
      </c>
      <c r="L7" s="86">
        <v>213.63</v>
      </c>
      <c r="M7" s="86">
        <v>71</v>
      </c>
      <c r="N7" s="86">
        <v>25</v>
      </c>
      <c r="O7" s="94">
        <f>VLOOKUP(E7,'Прайс Лазер'!$I$4:$J$21,2,0)</f>
        <v>3.4499999999999997</v>
      </c>
      <c r="P7" s="86">
        <f>HLOOKUP('Оценка лазера'!$E7,'Прайс Лазер'!$C$26:$T$34,1+VLOOKUP(F7,'Прайс Лазер'!$A$26:$B$34,2,0),0)</f>
        <v>74.75</v>
      </c>
      <c r="Q7" s="86">
        <f t="shared" si="0"/>
        <v>369.2</v>
      </c>
      <c r="R7" s="86">
        <f t="shared" si="1"/>
        <v>50</v>
      </c>
      <c r="S7" s="86">
        <f t="shared" si="2"/>
        <v>212.12770049999997</v>
      </c>
      <c r="T7" s="86">
        <f t="shared" si="3"/>
        <v>631.32770049999999</v>
      </c>
      <c r="U7" s="86">
        <f t="shared" si="4"/>
        <v>631.32770049999999</v>
      </c>
      <c r="V7" s="98">
        <f t="shared" si="5"/>
        <v>526.10641708333333</v>
      </c>
    </row>
    <row r="8" spans="1:22" ht="15" x14ac:dyDescent="0.25">
      <c r="A8" s="97">
        <f t="shared" si="6"/>
        <v>6</v>
      </c>
      <c r="B8" s="86" t="s">
        <v>230</v>
      </c>
      <c r="C8" s="86" t="s">
        <v>218</v>
      </c>
      <c r="D8" s="86">
        <v>1</v>
      </c>
      <c r="E8" s="86">
        <v>6</v>
      </c>
      <c r="F8" s="95" t="s">
        <v>84</v>
      </c>
      <c r="G8" s="86" t="s">
        <v>214</v>
      </c>
      <c r="H8" s="86">
        <v>5.2</v>
      </c>
      <c r="I8" s="86">
        <v>2</v>
      </c>
      <c r="J8" s="86">
        <v>8</v>
      </c>
      <c r="K8" s="86">
        <v>2030.55</v>
      </c>
      <c r="L8" s="86">
        <v>213.63</v>
      </c>
      <c r="M8" s="86">
        <v>71</v>
      </c>
      <c r="N8" s="86">
        <v>25</v>
      </c>
      <c r="O8" s="94">
        <f>VLOOKUP(E8,'Прайс Лазер'!$I$4:$J$21,2,0)</f>
        <v>3.4499999999999997</v>
      </c>
      <c r="P8" s="86">
        <f>HLOOKUP('Оценка лазера'!$E8,'Прайс Лазер'!$C$26:$T$34,1+VLOOKUP(F8,'Прайс Лазер'!$A$26:$B$34,2,0),0)</f>
        <v>74.75</v>
      </c>
      <c r="Q8" s="86">
        <f t="shared" si="0"/>
        <v>369.2</v>
      </c>
      <c r="R8" s="86">
        <f t="shared" si="1"/>
        <v>50</v>
      </c>
      <c r="S8" s="86">
        <f t="shared" si="2"/>
        <v>212.12770049999997</v>
      </c>
      <c r="T8" s="86">
        <f t="shared" si="3"/>
        <v>631.32770049999999</v>
      </c>
      <c r="U8" s="86">
        <f t="shared" si="4"/>
        <v>631.32770049999999</v>
      </c>
      <c r="V8" s="98">
        <f t="shared" si="5"/>
        <v>526.10641708333333</v>
      </c>
    </row>
    <row r="9" spans="1:22" ht="15" x14ac:dyDescent="0.25">
      <c r="A9" s="97">
        <f t="shared" si="6"/>
        <v>7</v>
      </c>
      <c r="B9" s="86" t="s">
        <v>227</v>
      </c>
      <c r="C9" s="86" t="s">
        <v>218</v>
      </c>
      <c r="D9" s="86">
        <v>2</v>
      </c>
      <c r="E9" s="86">
        <v>6</v>
      </c>
      <c r="F9" s="95" t="s">
        <v>84</v>
      </c>
      <c r="G9" s="86" t="s">
        <v>214</v>
      </c>
      <c r="H9" s="86">
        <v>0.93</v>
      </c>
      <c r="I9" s="86">
        <v>1</v>
      </c>
      <c r="J9" s="86">
        <v>0</v>
      </c>
      <c r="K9" s="86">
        <v>562.01</v>
      </c>
      <c r="L9" s="86">
        <v>0</v>
      </c>
      <c r="M9" s="86">
        <v>71</v>
      </c>
      <c r="N9" s="86">
        <v>25</v>
      </c>
      <c r="O9" s="94">
        <f>VLOOKUP(E9,'Прайс Лазер'!$I$4:$J$21,2,0)</f>
        <v>3.4499999999999997</v>
      </c>
      <c r="P9" s="86">
        <f>HLOOKUP('Оценка лазера'!$E9,'Прайс Лазер'!$C$26:$T$34,1+VLOOKUP(F9,'Прайс Лазер'!$A$26:$B$34,2,0),0)</f>
        <v>74.75</v>
      </c>
      <c r="Q9" s="86">
        <f t="shared" si="0"/>
        <v>66.03</v>
      </c>
      <c r="R9" s="86">
        <f t="shared" si="1"/>
        <v>25</v>
      </c>
      <c r="S9" s="86">
        <f t="shared" si="2"/>
        <v>46.211272250000007</v>
      </c>
      <c r="T9" s="86">
        <f t="shared" si="3"/>
        <v>137.24127225000001</v>
      </c>
      <c r="U9" s="86">
        <f t="shared" si="4"/>
        <v>274.48254450000002</v>
      </c>
      <c r="V9" s="98">
        <f t="shared" si="5"/>
        <v>228.73545375000003</v>
      </c>
    </row>
    <row r="10" spans="1:22" ht="15" x14ac:dyDescent="0.25">
      <c r="A10" s="97">
        <f t="shared" si="6"/>
        <v>8</v>
      </c>
      <c r="B10" s="86" t="s">
        <v>245</v>
      </c>
      <c r="C10" s="86" t="s">
        <v>239</v>
      </c>
      <c r="D10" s="86">
        <v>4</v>
      </c>
      <c r="E10" s="86">
        <v>6</v>
      </c>
      <c r="F10" s="95" t="s">
        <v>84</v>
      </c>
      <c r="G10" s="86" t="s">
        <v>233</v>
      </c>
      <c r="H10" s="86">
        <v>0.22</v>
      </c>
      <c r="I10" s="86">
        <v>0</v>
      </c>
      <c r="J10" s="86">
        <v>0</v>
      </c>
      <c r="K10" s="86">
        <v>299.58999999999997</v>
      </c>
      <c r="L10" s="86">
        <v>0</v>
      </c>
      <c r="M10" s="86">
        <v>71</v>
      </c>
      <c r="N10" s="86">
        <v>25</v>
      </c>
      <c r="O10" s="94">
        <f>VLOOKUP(E10,'Прайс Лазер'!$I$4:$J$21,2,0)</f>
        <v>3.4499999999999997</v>
      </c>
      <c r="P10" s="86">
        <f>HLOOKUP('Оценка лазера'!$E10,'Прайс Лазер'!$C$26:$T$34,1+VLOOKUP(F10,'Прайс Лазер'!$A$26:$B$34,2,0),0)</f>
        <v>74.75</v>
      </c>
      <c r="Q10" s="86">
        <f t="shared" si="0"/>
        <v>15.62</v>
      </c>
      <c r="R10" s="86">
        <f t="shared" si="1"/>
        <v>0</v>
      </c>
      <c r="S10" s="86">
        <f t="shared" si="2"/>
        <v>24.63378775</v>
      </c>
      <c r="T10" s="86">
        <f t="shared" si="3"/>
        <v>40.253787750000001</v>
      </c>
      <c r="U10" s="86">
        <f t="shared" si="4"/>
        <v>161.015151</v>
      </c>
      <c r="V10" s="98">
        <f t="shared" si="5"/>
        <v>134.1792925</v>
      </c>
    </row>
    <row r="11" spans="1:22" ht="15" x14ac:dyDescent="0.25">
      <c r="A11" s="97">
        <f t="shared" si="6"/>
        <v>9</v>
      </c>
      <c r="B11" s="86" t="s">
        <v>226</v>
      </c>
      <c r="C11" s="86" t="s">
        <v>218</v>
      </c>
      <c r="D11" s="86">
        <v>2</v>
      </c>
      <c r="E11" s="86">
        <v>6</v>
      </c>
      <c r="F11" s="95" t="s">
        <v>84</v>
      </c>
      <c r="G11" s="86" t="s">
        <v>214</v>
      </c>
      <c r="H11" s="86">
        <v>0.93</v>
      </c>
      <c r="I11" s="86">
        <v>1</v>
      </c>
      <c r="J11" s="86">
        <v>0</v>
      </c>
      <c r="K11" s="86">
        <v>562.01</v>
      </c>
      <c r="L11" s="86">
        <v>0</v>
      </c>
      <c r="M11" s="86">
        <v>71</v>
      </c>
      <c r="N11" s="86">
        <v>25</v>
      </c>
      <c r="O11" s="94">
        <f>VLOOKUP(E11,'Прайс Лазер'!$I$4:$J$21,2,0)</f>
        <v>3.4499999999999997</v>
      </c>
      <c r="P11" s="86">
        <f>HLOOKUP('Оценка лазера'!$E11,'Прайс Лазер'!$C$26:$T$34,1+VLOOKUP(F11,'Прайс Лазер'!$A$26:$B$34,2,0),0)</f>
        <v>74.75</v>
      </c>
      <c r="Q11" s="86">
        <f t="shared" si="0"/>
        <v>66.03</v>
      </c>
      <c r="R11" s="86">
        <f t="shared" si="1"/>
        <v>25</v>
      </c>
      <c r="S11" s="86">
        <f t="shared" si="2"/>
        <v>46.211272250000007</v>
      </c>
      <c r="T11" s="86">
        <f t="shared" si="3"/>
        <v>137.24127225000001</v>
      </c>
      <c r="U11" s="86">
        <f t="shared" si="4"/>
        <v>274.48254450000002</v>
      </c>
      <c r="V11" s="98">
        <f t="shared" si="5"/>
        <v>228.73545375000003</v>
      </c>
    </row>
    <row r="12" spans="1:22" ht="15" x14ac:dyDescent="0.25">
      <c r="A12" s="97">
        <f t="shared" si="6"/>
        <v>10</v>
      </c>
      <c r="B12" s="86" t="s">
        <v>240</v>
      </c>
      <c r="C12" s="86" t="s">
        <v>241</v>
      </c>
      <c r="D12" s="86">
        <v>2</v>
      </c>
      <c r="E12" s="86">
        <v>5</v>
      </c>
      <c r="F12" s="95" t="s">
        <v>84</v>
      </c>
      <c r="G12" s="86" t="s">
        <v>233</v>
      </c>
      <c r="H12" s="86">
        <v>0.23</v>
      </c>
      <c r="I12" s="86">
        <v>0</v>
      </c>
      <c r="J12" s="86">
        <v>0</v>
      </c>
      <c r="K12" s="86">
        <v>308.27999999999997</v>
      </c>
      <c r="L12" s="86">
        <v>0</v>
      </c>
      <c r="M12" s="86">
        <v>71</v>
      </c>
      <c r="N12" s="86">
        <v>25</v>
      </c>
      <c r="O12" s="94">
        <f>VLOOKUP(E12,'Прайс Лазер'!$I$4:$J$21,2,0)</f>
        <v>3.4499999999999997</v>
      </c>
      <c r="P12" s="86">
        <f>HLOOKUP('Оценка лазера'!$E12,'Прайс Лазер'!$C$26:$T$34,1+VLOOKUP(F12,'Прайс Лазер'!$A$26:$B$34,2,0),0)</f>
        <v>63.249999999999993</v>
      </c>
      <c r="Q12" s="86">
        <f t="shared" si="0"/>
        <v>16.330000000000002</v>
      </c>
      <c r="R12" s="86">
        <f t="shared" si="1"/>
        <v>0</v>
      </c>
      <c r="S12" s="86">
        <f t="shared" si="2"/>
        <v>21.448580999999997</v>
      </c>
      <c r="T12" s="86">
        <f t="shared" si="3"/>
        <v>37.778581000000003</v>
      </c>
      <c r="U12" s="86">
        <f t="shared" si="4"/>
        <v>75.557162000000005</v>
      </c>
      <c r="V12" s="98">
        <f t="shared" si="5"/>
        <v>62.964301666666671</v>
      </c>
    </row>
    <row r="13" spans="1:22" ht="15" x14ac:dyDescent="0.25">
      <c r="A13" s="97">
        <f t="shared" si="6"/>
        <v>11</v>
      </c>
      <c r="B13" s="86" t="s">
        <v>219</v>
      </c>
      <c r="C13" s="86" t="s">
        <v>220</v>
      </c>
      <c r="D13" s="86">
        <v>2</v>
      </c>
      <c r="E13" s="86">
        <v>3</v>
      </c>
      <c r="F13" s="95" t="s">
        <v>84</v>
      </c>
      <c r="G13" s="86" t="s">
        <v>214</v>
      </c>
      <c r="H13" s="86">
        <v>0.97</v>
      </c>
      <c r="I13" s="86">
        <v>1</v>
      </c>
      <c r="J13" s="86">
        <v>6</v>
      </c>
      <c r="K13" s="86">
        <v>1553.92</v>
      </c>
      <c r="L13" s="86">
        <v>56.55</v>
      </c>
      <c r="M13" s="86">
        <v>71</v>
      </c>
      <c r="N13" s="86">
        <v>25</v>
      </c>
      <c r="O13" s="94">
        <f>VLOOKUP(E13,'Прайс Лазер'!$I$4:$J$21,2,0)</f>
        <v>2.2999999999999998</v>
      </c>
      <c r="P13" s="86">
        <f>HLOOKUP('Оценка лазера'!$E13,'Прайс Лазер'!$C$26:$T$34,1+VLOOKUP(F13,'Прайс Лазер'!$A$26:$B$34,2,0),0)</f>
        <v>40.25</v>
      </c>
      <c r="Q13" s="86">
        <f t="shared" si="0"/>
        <v>68.87</v>
      </c>
      <c r="R13" s="86">
        <f t="shared" si="1"/>
        <v>25</v>
      </c>
      <c r="S13" s="86">
        <f t="shared" si="2"/>
        <v>85.103559250000004</v>
      </c>
      <c r="T13" s="86">
        <f t="shared" si="3"/>
        <v>178.97355924999999</v>
      </c>
      <c r="U13" s="86">
        <f t="shared" si="4"/>
        <v>357.94711849999999</v>
      </c>
      <c r="V13" s="98">
        <f t="shared" si="5"/>
        <v>298.28926541666669</v>
      </c>
    </row>
    <row r="14" spans="1:22" ht="15" x14ac:dyDescent="0.25">
      <c r="A14" s="97">
        <f t="shared" si="6"/>
        <v>12</v>
      </c>
      <c r="B14" s="86" t="s">
        <v>242</v>
      </c>
      <c r="C14" s="86" t="s">
        <v>243</v>
      </c>
      <c r="D14" s="86">
        <v>2</v>
      </c>
      <c r="E14" s="86">
        <v>5</v>
      </c>
      <c r="F14" s="95" t="s">
        <v>84</v>
      </c>
      <c r="G14" s="86" t="s">
        <v>233</v>
      </c>
      <c r="H14" s="86">
        <v>1.27</v>
      </c>
      <c r="I14" s="86">
        <v>0</v>
      </c>
      <c r="J14" s="86">
        <v>0</v>
      </c>
      <c r="K14" s="86">
        <v>1136.0999999999999</v>
      </c>
      <c r="L14" s="86">
        <v>0</v>
      </c>
      <c r="M14" s="86">
        <v>71</v>
      </c>
      <c r="N14" s="86">
        <v>25</v>
      </c>
      <c r="O14" s="94">
        <f>VLOOKUP(E14,'Прайс Лазер'!$I$4:$J$21,2,0)</f>
        <v>3.4499999999999997</v>
      </c>
      <c r="P14" s="86">
        <f>HLOOKUP('Оценка лазера'!$E14,'Прайс Лазер'!$C$26:$T$34,1+VLOOKUP(F14,'Прайс Лазер'!$A$26:$B$34,2,0),0)</f>
        <v>63.249999999999993</v>
      </c>
      <c r="Q14" s="86">
        <f t="shared" si="0"/>
        <v>90.17</v>
      </c>
      <c r="R14" s="86">
        <f t="shared" si="1"/>
        <v>0</v>
      </c>
      <c r="S14" s="86">
        <f t="shared" si="2"/>
        <v>79.044157499999983</v>
      </c>
      <c r="T14" s="86">
        <f t="shared" si="3"/>
        <v>169.2141575</v>
      </c>
      <c r="U14" s="86">
        <f t="shared" si="4"/>
        <v>338.428315</v>
      </c>
      <c r="V14" s="98">
        <f t="shared" si="5"/>
        <v>282.02359583333333</v>
      </c>
    </row>
    <row r="15" spans="1:22" ht="15" x14ac:dyDescent="0.25">
      <c r="A15" s="97">
        <f t="shared" si="6"/>
        <v>13</v>
      </c>
      <c r="B15" s="86" t="s">
        <v>231</v>
      </c>
      <c r="C15" s="86" t="s">
        <v>232</v>
      </c>
      <c r="D15" s="86">
        <v>4</v>
      </c>
      <c r="E15" s="86">
        <v>2</v>
      </c>
      <c r="F15" s="95" t="s">
        <v>83</v>
      </c>
      <c r="G15" s="86" t="s">
        <v>233</v>
      </c>
      <c r="H15" s="86">
        <v>0.04</v>
      </c>
      <c r="I15" s="86">
        <v>0</v>
      </c>
      <c r="J15" s="86">
        <v>0</v>
      </c>
      <c r="K15" s="86">
        <v>190.63</v>
      </c>
      <c r="L15" s="86">
        <v>0</v>
      </c>
      <c r="M15" s="86">
        <v>93</v>
      </c>
      <c r="N15" s="86">
        <v>25</v>
      </c>
      <c r="O15" s="94">
        <f>VLOOKUP(E15,'Прайс Лазер'!$I$4:$J$21,2,0)</f>
        <v>2.2999999999999998</v>
      </c>
      <c r="P15" s="86">
        <f>HLOOKUP('Оценка лазера'!$E15,'Прайс Лазер'!$C$26:$T$34,1+VLOOKUP(F15,'Прайс Лазер'!$A$26:$B$34,2,0),0)</f>
        <v>28.749999999999996</v>
      </c>
      <c r="Q15" s="86">
        <f t="shared" si="0"/>
        <v>3.72</v>
      </c>
      <c r="R15" s="86">
        <f t="shared" si="1"/>
        <v>0</v>
      </c>
      <c r="S15" s="86">
        <f t="shared" si="2"/>
        <v>6.0286737499999994</v>
      </c>
      <c r="T15" s="86">
        <f t="shared" si="3"/>
        <v>9.74867375</v>
      </c>
      <c r="U15" s="86">
        <f t="shared" si="4"/>
        <v>38.994695</v>
      </c>
      <c r="V15" s="98">
        <f t="shared" si="5"/>
        <v>32.495579166666666</v>
      </c>
    </row>
    <row r="16" spans="1:22" ht="15" x14ac:dyDescent="0.25">
      <c r="A16" s="97">
        <f t="shared" si="6"/>
        <v>14</v>
      </c>
      <c r="B16" s="86" t="s">
        <v>217</v>
      </c>
      <c r="C16" s="86" t="s">
        <v>218</v>
      </c>
      <c r="D16" s="86">
        <v>4</v>
      </c>
      <c r="E16" s="86">
        <v>3</v>
      </c>
      <c r="F16" s="95" t="s">
        <v>84</v>
      </c>
      <c r="G16" s="86" t="s">
        <v>214</v>
      </c>
      <c r="H16" s="86">
        <v>0.01</v>
      </c>
      <c r="I16" s="86">
        <v>4</v>
      </c>
      <c r="J16" s="86">
        <v>1</v>
      </c>
      <c r="K16" s="86">
        <v>454.16</v>
      </c>
      <c r="L16" s="86">
        <v>25.13</v>
      </c>
      <c r="M16" s="86">
        <v>71</v>
      </c>
      <c r="N16" s="86">
        <v>25</v>
      </c>
      <c r="O16" s="94">
        <f>VLOOKUP(E16,'Прайс Лазер'!$I$4:$J$21,2,0)</f>
        <v>2.2999999999999998</v>
      </c>
      <c r="P16" s="86">
        <f>HLOOKUP('Оценка лазера'!$E16,'Прайс Лазер'!$C$26:$T$34,1+VLOOKUP(F16,'Прайс Лазер'!$A$26:$B$34,2,0),0)</f>
        <v>40.25</v>
      </c>
      <c r="Q16" s="86">
        <f t="shared" si="0"/>
        <v>0.71</v>
      </c>
      <c r="R16" s="86">
        <f t="shared" si="1"/>
        <v>100</v>
      </c>
      <c r="S16" s="86">
        <f t="shared" si="2"/>
        <v>23.520564750000002</v>
      </c>
      <c r="T16" s="86">
        <f t="shared" si="3"/>
        <v>124.23056475</v>
      </c>
      <c r="U16" s="86">
        <f t="shared" si="4"/>
        <v>496.922259</v>
      </c>
      <c r="V16" s="98">
        <f t="shared" si="5"/>
        <v>414.10188249999999</v>
      </c>
    </row>
    <row r="17" spans="1:22" ht="15" x14ac:dyDescent="0.25">
      <c r="A17" s="97">
        <f t="shared" si="6"/>
        <v>15</v>
      </c>
      <c r="B17" s="86" t="s">
        <v>244</v>
      </c>
      <c r="C17" s="86" t="s">
        <v>204</v>
      </c>
      <c r="D17" s="86">
        <v>2</v>
      </c>
      <c r="E17" s="86">
        <v>5</v>
      </c>
      <c r="F17" s="95" t="s">
        <v>84</v>
      </c>
      <c r="G17" s="86" t="s">
        <v>233</v>
      </c>
      <c r="H17" s="86">
        <v>0.04</v>
      </c>
      <c r="I17" s="86">
        <v>0</v>
      </c>
      <c r="J17" s="86">
        <v>1</v>
      </c>
      <c r="K17" s="86">
        <v>135.5</v>
      </c>
      <c r="L17" s="86">
        <v>50.89</v>
      </c>
      <c r="M17" s="86">
        <v>71</v>
      </c>
      <c r="N17" s="86">
        <v>25</v>
      </c>
      <c r="O17" s="94">
        <f>VLOOKUP(E17,'Прайс Лазер'!$I$4:$J$21,2,0)</f>
        <v>3.4499999999999997</v>
      </c>
      <c r="P17" s="86">
        <f>HLOOKUP('Оценка лазера'!$E17,'Прайс Лазер'!$C$26:$T$34,1+VLOOKUP(F17,'Прайс Лазер'!$A$26:$B$34,2,0),0)</f>
        <v>63.249999999999993</v>
      </c>
      <c r="Q17" s="86">
        <f t="shared" si="0"/>
        <v>2.84</v>
      </c>
      <c r="R17" s="86">
        <f t="shared" si="1"/>
        <v>0</v>
      </c>
      <c r="S17" s="86">
        <f t="shared" si="2"/>
        <v>16.41808425</v>
      </c>
      <c r="T17" s="86">
        <f t="shared" si="3"/>
        <v>19.25808425</v>
      </c>
      <c r="U17" s="86">
        <f t="shared" si="4"/>
        <v>38.516168499999999</v>
      </c>
      <c r="V17" s="98">
        <f t="shared" si="5"/>
        <v>32.096807083333331</v>
      </c>
    </row>
    <row r="18" spans="1:22" ht="15" x14ac:dyDescent="0.25">
      <c r="A18" s="97">
        <f t="shared" si="6"/>
        <v>16</v>
      </c>
      <c r="B18" s="86" t="s">
        <v>235</v>
      </c>
      <c r="C18" s="86" t="s">
        <v>236</v>
      </c>
      <c r="D18" s="86">
        <v>2</v>
      </c>
      <c r="E18" s="86">
        <v>5</v>
      </c>
      <c r="F18" s="95" t="s">
        <v>84</v>
      </c>
      <c r="G18" s="86" t="s">
        <v>233</v>
      </c>
      <c r="H18" s="86">
        <v>0.43</v>
      </c>
      <c r="I18" s="86">
        <v>0</v>
      </c>
      <c r="J18" s="86">
        <v>1</v>
      </c>
      <c r="K18" s="86">
        <v>485.36</v>
      </c>
      <c r="L18" s="86">
        <v>51.84</v>
      </c>
      <c r="M18" s="86">
        <v>71</v>
      </c>
      <c r="N18" s="86">
        <v>25</v>
      </c>
      <c r="O18" s="94">
        <f>VLOOKUP(E18,'Прайс Лазер'!$I$4:$J$21,2,0)</f>
        <v>3.4499999999999997</v>
      </c>
      <c r="P18" s="86">
        <f>HLOOKUP('Оценка лазера'!$E18,'Прайс Лазер'!$C$26:$T$34,1+VLOOKUP(F18,'Прайс Лазер'!$A$26:$B$34,2,0),0)</f>
        <v>63.249999999999993</v>
      </c>
      <c r="Q18" s="86">
        <f t="shared" si="0"/>
        <v>30.53</v>
      </c>
      <c r="R18" s="86">
        <f t="shared" si="1"/>
        <v>0</v>
      </c>
      <c r="S18" s="86">
        <f t="shared" si="2"/>
        <v>40.825690000000009</v>
      </c>
      <c r="T18" s="86">
        <f t="shared" si="3"/>
        <v>71.35569000000001</v>
      </c>
      <c r="U18" s="86">
        <f t="shared" si="4"/>
        <v>142.71138000000002</v>
      </c>
      <c r="V18" s="98">
        <f t="shared" si="5"/>
        <v>118.92615000000002</v>
      </c>
    </row>
    <row r="19" spans="1:22" ht="15" x14ac:dyDescent="0.25">
      <c r="A19" s="97">
        <f>A18+1</f>
        <v>17</v>
      </c>
      <c r="B19" s="86" t="s">
        <v>225</v>
      </c>
      <c r="C19" s="86" t="s">
        <v>211</v>
      </c>
      <c r="D19" s="86">
        <v>2</v>
      </c>
      <c r="E19" s="86">
        <v>4</v>
      </c>
      <c r="F19" s="95" t="s">
        <v>84</v>
      </c>
      <c r="G19" s="86" t="s">
        <v>214</v>
      </c>
      <c r="H19" s="86">
        <v>1.22</v>
      </c>
      <c r="I19" s="86">
        <v>1</v>
      </c>
      <c r="J19" s="86">
        <v>0</v>
      </c>
      <c r="K19" s="86">
        <v>1839.56</v>
      </c>
      <c r="L19" s="86">
        <v>0</v>
      </c>
      <c r="M19" s="86">
        <v>71</v>
      </c>
      <c r="N19" s="86">
        <v>25</v>
      </c>
      <c r="O19" s="94">
        <f>VLOOKUP(E19,'Прайс Лазер'!$I$4:$J$21,2,0)</f>
        <v>3.4499999999999997</v>
      </c>
      <c r="P19" s="86">
        <f>HLOOKUP('Оценка лазера'!$E19,'Прайс Лазер'!$C$26:$T$34,1+VLOOKUP(F19,'Прайс Лазер'!$A$26:$B$34,2,0),0)</f>
        <v>51.749999999999993</v>
      </c>
      <c r="Q19" s="86">
        <f t="shared" ref="Q19:Q66" si="7">H19*M19</f>
        <v>86.62</v>
      </c>
      <c r="R19" s="86">
        <f t="shared" ref="R19:R66" si="8">I19*N19</f>
        <v>25</v>
      </c>
      <c r="S19" s="86">
        <f t="shared" ref="S19:S66" si="9">(K19+L19)/1000*1.1*P19+(J19*O19)</f>
        <v>104.71695299999998</v>
      </c>
      <c r="T19" s="86">
        <f t="shared" ref="T19:T67" si="10">Q19+R19+S19</f>
        <v>216.33695299999999</v>
      </c>
      <c r="U19" s="86">
        <f t="shared" ref="U19:U66" si="11">D19*T19</f>
        <v>432.67390599999999</v>
      </c>
      <c r="V19" s="98">
        <f t="shared" ref="V19:V67" si="12">U19/1.2</f>
        <v>360.56158833333336</v>
      </c>
    </row>
    <row r="20" spans="1:22" ht="15" x14ac:dyDescent="0.25">
      <c r="A20" s="97">
        <f t="shared" si="6"/>
        <v>18</v>
      </c>
      <c r="B20" s="86" t="s">
        <v>237</v>
      </c>
      <c r="C20" s="86" t="s">
        <v>236</v>
      </c>
      <c r="D20" s="86">
        <v>2</v>
      </c>
      <c r="E20" s="86">
        <v>5</v>
      </c>
      <c r="F20" s="95" t="s">
        <v>84</v>
      </c>
      <c r="G20" s="86" t="s">
        <v>233</v>
      </c>
      <c r="H20" s="86">
        <v>0.43</v>
      </c>
      <c r="I20" s="86">
        <v>0</v>
      </c>
      <c r="J20" s="86">
        <v>1</v>
      </c>
      <c r="K20" s="86">
        <v>485.36</v>
      </c>
      <c r="L20" s="86">
        <v>51.84</v>
      </c>
      <c r="M20" s="86">
        <v>71</v>
      </c>
      <c r="N20" s="86">
        <v>25</v>
      </c>
      <c r="O20" s="94">
        <f>VLOOKUP(E20,'Прайс Лазер'!$I$4:$J$21,2,0)</f>
        <v>3.4499999999999997</v>
      </c>
      <c r="P20" s="86">
        <f>HLOOKUP('Оценка лазера'!$E20,'Прайс Лазер'!$C$26:$T$34,1+VLOOKUP(F20,'Прайс Лазер'!$A$26:$B$34,2,0),0)</f>
        <v>63.249999999999993</v>
      </c>
      <c r="Q20" s="86">
        <f t="shared" si="7"/>
        <v>30.53</v>
      </c>
      <c r="R20" s="86">
        <f t="shared" si="8"/>
        <v>0</v>
      </c>
      <c r="S20" s="86">
        <f t="shared" si="9"/>
        <v>40.825690000000009</v>
      </c>
      <c r="T20" s="86">
        <f t="shared" si="10"/>
        <v>71.35569000000001</v>
      </c>
      <c r="U20" s="86">
        <f t="shared" si="11"/>
        <v>142.71138000000002</v>
      </c>
      <c r="V20" s="98">
        <f t="shared" si="12"/>
        <v>118.92615000000002</v>
      </c>
    </row>
    <row r="21" spans="1:22" ht="15" x14ac:dyDescent="0.25">
      <c r="A21" s="97">
        <f t="shared" si="6"/>
        <v>19</v>
      </c>
      <c r="B21" s="86" t="s">
        <v>238</v>
      </c>
      <c r="C21" s="86" t="s">
        <v>239</v>
      </c>
      <c r="D21" s="86">
        <v>4</v>
      </c>
      <c r="E21" s="86">
        <v>5</v>
      </c>
      <c r="F21" s="95" t="s">
        <v>84</v>
      </c>
      <c r="G21" s="86" t="s">
        <v>233</v>
      </c>
      <c r="H21" s="86">
        <v>0.09</v>
      </c>
      <c r="I21" s="86">
        <v>0</v>
      </c>
      <c r="J21" s="86">
        <v>0</v>
      </c>
      <c r="K21" s="86">
        <v>250.95</v>
      </c>
      <c r="L21" s="86">
        <v>0</v>
      </c>
      <c r="M21" s="86">
        <v>71</v>
      </c>
      <c r="N21" s="86">
        <v>25</v>
      </c>
      <c r="O21" s="94">
        <f>VLOOKUP(E21,'Прайс Лазер'!$I$4:$J$21,2,0)</f>
        <v>3.4499999999999997</v>
      </c>
      <c r="P21" s="86">
        <f>HLOOKUP('Оценка лазера'!$E21,'Прайс Лазер'!$C$26:$T$34,1+VLOOKUP(F21,'Прайс Лазер'!$A$26:$B$34,2,0),0)</f>
        <v>63.249999999999993</v>
      </c>
      <c r="Q21" s="86">
        <f t="shared" si="7"/>
        <v>6.39</v>
      </c>
      <c r="R21" s="86">
        <f t="shared" si="8"/>
        <v>0</v>
      </c>
      <c r="S21" s="86">
        <f t="shared" si="9"/>
        <v>17.459846250000002</v>
      </c>
      <c r="T21" s="86">
        <f t="shared" si="10"/>
        <v>23.849846250000002</v>
      </c>
      <c r="U21" s="86">
        <f t="shared" si="11"/>
        <v>95.399385000000009</v>
      </c>
      <c r="V21" s="98">
        <f t="shared" si="12"/>
        <v>79.499487500000015</v>
      </c>
    </row>
    <row r="22" spans="1:22" ht="15" x14ac:dyDescent="0.25">
      <c r="A22" s="97">
        <f t="shared" si="6"/>
        <v>20</v>
      </c>
      <c r="B22" s="86" t="s">
        <v>221</v>
      </c>
      <c r="C22" s="86" t="s">
        <v>222</v>
      </c>
      <c r="D22" s="86">
        <v>2</v>
      </c>
      <c r="E22" s="86">
        <v>3</v>
      </c>
      <c r="F22" s="95" t="s">
        <v>84</v>
      </c>
      <c r="G22" s="86" t="s">
        <v>214</v>
      </c>
      <c r="H22" s="86">
        <v>0.68</v>
      </c>
      <c r="I22" s="86">
        <v>1</v>
      </c>
      <c r="J22" s="86">
        <v>0</v>
      </c>
      <c r="K22" s="86">
        <v>1805.7</v>
      </c>
      <c r="L22" s="86">
        <v>0</v>
      </c>
      <c r="M22" s="86">
        <v>71</v>
      </c>
      <c r="N22" s="86">
        <v>25</v>
      </c>
      <c r="O22" s="94">
        <f>VLOOKUP(E22,'Прайс Лазер'!$I$4:$J$21,2,0)</f>
        <v>2.2999999999999998</v>
      </c>
      <c r="P22" s="86">
        <f>HLOOKUP('Оценка лазера'!$E22,'Прайс Лазер'!$C$26:$T$34,1+VLOOKUP(F22,'Прайс Лазер'!$A$26:$B$34,2,0),0)</f>
        <v>40.25</v>
      </c>
      <c r="Q22" s="86">
        <f t="shared" si="7"/>
        <v>48.28</v>
      </c>
      <c r="R22" s="86">
        <f t="shared" si="8"/>
        <v>25</v>
      </c>
      <c r="S22" s="86">
        <f t="shared" si="9"/>
        <v>79.947367500000013</v>
      </c>
      <c r="T22" s="86">
        <f t="shared" si="10"/>
        <v>153.22736750000001</v>
      </c>
      <c r="U22" s="86">
        <f t="shared" si="11"/>
        <v>306.45473500000003</v>
      </c>
      <c r="V22" s="98">
        <f t="shared" si="12"/>
        <v>255.37894583333338</v>
      </c>
    </row>
    <row r="23" spans="1:22" ht="15" x14ac:dyDescent="0.25">
      <c r="A23" s="97">
        <f t="shared" si="6"/>
        <v>21</v>
      </c>
      <c r="B23" s="86" t="s">
        <v>215</v>
      </c>
      <c r="C23" s="86" t="s">
        <v>216</v>
      </c>
      <c r="D23" s="86">
        <v>2</v>
      </c>
      <c r="E23" s="86">
        <v>2</v>
      </c>
      <c r="F23" s="95" t="s">
        <v>83</v>
      </c>
      <c r="G23" s="86" t="s">
        <v>214</v>
      </c>
      <c r="H23" s="86">
        <v>0.09</v>
      </c>
      <c r="I23" s="86">
        <v>3</v>
      </c>
      <c r="J23" s="86">
        <v>0</v>
      </c>
      <c r="K23" s="86">
        <v>330.27</v>
      </c>
      <c r="L23" s="86">
        <v>0</v>
      </c>
      <c r="M23" s="86">
        <v>93</v>
      </c>
      <c r="N23" s="86">
        <v>25</v>
      </c>
      <c r="O23" s="94">
        <f>VLOOKUP(E23,'Прайс Лазер'!$I$4:$J$21,2,0)</f>
        <v>2.2999999999999998</v>
      </c>
      <c r="P23" s="86">
        <f>HLOOKUP('Оценка лазера'!$E23,'Прайс Лазер'!$C$26:$T$34,1+VLOOKUP(F23,'Прайс Лазер'!$A$26:$B$34,2,0),0)</f>
        <v>28.749999999999996</v>
      </c>
      <c r="Q23" s="86">
        <f t="shared" si="7"/>
        <v>8.3699999999999992</v>
      </c>
      <c r="R23" s="86">
        <f t="shared" si="8"/>
        <v>75</v>
      </c>
      <c r="S23" s="86">
        <f t="shared" si="9"/>
        <v>10.444788749999999</v>
      </c>
      <c r="T23" s="86">
        <f t="shared" si="10"/>
        <v>93.814788750000005</v>
      </c>
      <c r="U23" s="86">
        <f t="shared" si="11"/>
        <v>187.62957750000001</v>
      </c>
      <c r="V23" s="98">
        <f t="shared" si="12"/>
        <v>156.35798125000002</v>
      </c>
    </row>
    <row r="24" spans="1:22" ht="15" x14ac:dyDescent="0.25">
      <c r="A24" s="97">
        <f t="shared" si="6"/>
        <v>22</v>
      </c>
      <c r="B24" s="86" t="s">
        <v>247</v>
      </c>
      <c r="C24" s="86" t="s">
        <v>204</v>
      </c>
      <c r="D24" s="86">
        <v>2</v>
      </c>
      <c r="E24" s="86">
        <v>6</v>
      </c>
      <c r="F24" s="95" t="s">
        <v>84</v>
      </c>
      <c r="G24" s="86" t="s">
        <v>233</v>
      </c>
      <c r="H24" s="86">
        <v>0.06</v>
      </c>
      <c r="I24" s="86">
        <v>0</v>
      </c>
      <c r="J24" s="86">
        <v>0</v>
      </c>
      <c r="K24" s="86">
        <v>134.13999999999999</v>
      </c>
      <c r="L24" s="86">
        <v>0</v>
      </c>
      <c r="M24" s="86">
        <v>71</v>
      </c>
      <c r="N24" s="86">
        <v>25</v>
      </c>
      <c r="O24" s="94">
        <f>VLOOKUP(E24,'Прайс Лазер'!$I$4:$J$21,2,0)</f>
        <v>3.4499999999999997</v>
      </c>
      <c r="P24" s="86">
        <f>HLOOKUP('Оценка лазера'!$E24,'Прайс Лазер'!$C$26:$T$34,1+VLOOKUP(F24,'Прайс Лазер'!$A$26:$B$34,2,0),0)</f>
        <v>74.75</v>
      </c>
      <c r="Q24" s="86">
        <f t="shared" si="7"/>
        <v>4.26</v>
      </c>
      <c r="R24" s="86">
        <f t="shared" si="8"/>
        <v>0</v>
      </c>
      <c r="S24" s="86">
        <f t="shared" si="9"/>
        <v>11.0296615</v>
      </c>
      <c r="T24" s="86">
        <f t="shared" si="10"/>
        <v>15.289661499999999</v>
      </c>
      <c r="U24" s="86">
        <f t="shared" si="11"/>
        <v>30.579322999999999</v>
      </c>
      <c r="V24" s="98">
        <f t="shared" si="12"/>
        <v>25.482769166666667</v>
      </c>
    </row>
    <row r="25" spans="1:22" ht="15" x14ac:dyDescent="0.25">
      <c r="A25" s="97">
        <f t="shared" si="6"/>
        <v>23</v>
      </c>
      <c r="B25" s="86" t="s">
        <v>228</v>
      </c>
      <c r="C25" s="86" t="s">
        <v>218</v>
      </c>
      <c r="D25" s="86">
        <v>2</v>
      </c>
      <c r="E25" s="86">
        <v>6</v>
      </c>
      <c r="F25" s="95" t="s">
        <v>84</v>
      </c>
      <c r="G25" s="86" t="s">
        <v>214</v>
      </c>
      <c r="H25" s="86">
        <v>3.86</v>
      </c>
      <c r="I25" s="86">
        <v>2</v>
      </c>
      <c r="J25" s="86">
        <v>8</v>
      </c>
      <c r="K25" s="86">
        <v>1966.55</v>
      </c>
      <c r="L25" s="86">
        <v>213.63</v>
      </c>
      <c r="M25" s="86">
        <v>71</v>
      </c>
      <c r="N25" s="86">
        <v>25</v>
      </c>
      <c r="O25" s="94">
        <f>VLOOKUP(E25,'Прайс Лазер'!$I$4:$J$21,2,0)</f>
        <v>3.4499999999999997</v>
      </c>
      <c r="P25" s="86">
        <f>HLOOKUP('Оценка лазера'!$E25,'Прайс Лазер'!$C$26:$T$34,1+VLOOKUP(F25,'Прайс Лазер'!$A$26:$B$34,2,0),0)</f>
        <v>74.75</v>
      </c>
      <c r="Q25" s="86">
        <f t="shared" si="7"/>
        <v>274.06</v>
      </c>
      <c r="R25" s="86">
        <f t="shared" si="8"/>
        <v>50</v>
      </c>
      <c r="S25" s="86">
        <f t="shared" si="9"/>
        <v>206.86530050000002</v>
      </c>
      <c r="T25" s="86">
        <f t="shared" si="10"/>
        <v>530.92530050000005</v>
      </c>
      <c r="U25" s="86">
        <f t="shared" si="11"/>
        <v>1061.8506010000001</v>
      </c>
      <c r="V25" s="98">
        <f t="shared" si="12"/>
        <v>884.87550083333349</v>
      </c>
    </row>
    <row r="26" spans="1:22" ht="15" x14ac:dyDescent="0.25">
      <c r="A26" s="97">
        <f t="shared" si="6"/>
        <v>24</v>
      </c>
      <c r="B26" s="86"/>
      <c r="C26" s="86"/>
      <c r="D26" s="86"/>
      <c r="E26" s="86">
        <v>1</v>
      </c>
      <c r="F26" s="95" t="s">
        <v>83</v>
      </c>
      <c r="G26" s="86"/>
      <c r="H26" s="86">
        <v>0</v>
      </c>
      <c r="I26" s="86">
        <v>0</v>
      </c>
      <c r="J26" s="86">
        <v>0</v>
      </c>
      <c r="K26" s="86">
        <v>0</v>
      </c>
      <c r="L26" s="86">
        <v>0</v>
      </c>
      <c r="M26" s="86">
        <f>VLOOKUP(F26,'Прайс Лазер'!$L$3:$M$9,2,0)</f>
        <v>93</v>
      </c>
      <c r="N26" s="86">
        <v>25</v>
      </c>
      <c r="O26" s="94">
        <f>VLOOKUP(E26,'Прайс Лазер'!$I$4:$J$21,2,0)</f>
        <v>1.1499999999999999</v>
      </c>
      <c r="P26" s="86">
        <f>HLOOKUP('Оценка лазера'!$E26,'Прайс Лазер'!$C$26:$T$34,1+VLOOKUP(F26,'Прайс Лазер'!$A$26:$B$34,2,0),0)</f>
        <v>21.849999999999998</v>
      </c>
      <c r="Q26" s="86">
        <f t="shared" si="7"/>
        <v>0</v>
      </c>
      <c r="R26" s="86">
        <f t="shared" si="8"/>
        <v>0</v>
      </c>
      <c r="S26" s="86">
        <f t="shared" si="9"/>
        <v>0</v>
      </c>
      <c r="T26" s="86">
        <f t="shared" si="10"/>
        <v>0</v>
      </c>
      <c r="U26" s="86">
        <f t="shared" si="11"/>
        <v>0</v>
      </c>
      <c r="V26" s="98">
        <f t="shared" si="12"/>
        <v>0</v>
      </c>
    </row>
    <row r="27" spans="1:22" ht="15" x14ac:dyDescent="0.25">
      <c r="A27" s="97">
        <f t="shared" si="6"/>
        <v>25</v>
      </c>
      <c r="B27" s="86"/>
      <c r="C27" s="86"/>
      <c r="D27" s="86"/>
      <c r="E27" s="86">
        <v>1</v>
      </c>
      <c r="F27" s="95" t="s">
        <v>83</v>
      </c>
      <c r="G27" s="86"/>
      <c r="H27" s="86">
        <v>0</v>
      </c>
      <c r="I27" s="86">
        <v>0</v>
      </c>
      <c r="J27" s="86">
        <v>0</v>
      </c>
      <c r="K27" s="86">
        <v>0</v>
      </c>
      <c r="L27" s="86">
        <v>0</v>
      </c>
      <c r="M27" s="86">
        <f>VLOOKUP(F27,'Прайс Лазер'!$L$3:$M$9,2,0)</f>
        <v>93</v>
      </c>
      <c r="N27" s="86">
        <v>25</v>
      </c>
      <c r="O27" s="94">
        <f>VLOOKUP(E27,'Прайс Лазер'!$I$4:$J$21,2,0)</f>
        <v>1.1499999999999999</v>
      </c>
      <c r="P27" s="86">
        <f>HLOOKUP('Оценка лазера'!$E27,'Прайс Лазер'!$C$26:$T$34,1+VLOOKUP(F27,'Прайс Лазер'!$A$26:$B$34,2,0),0)</f>
        <v>21.849999999999998</v>
      </c>
      <c r="Q27" s="86">
        <f t="shared" si="7"/>
        <v>0</v>
      </c>
      <c r="R27" s="86">
        <f t="shared" si="8"/>
        <v>0</v>
      </c>
      <c r="S27" s="86">
        <f t="shared" si="9"/>
        <v>0</v>
      </c>
      <c r="T27" s="86">
        <f t="shared" si="10"/>
        <v>0</v>
      </c>
      <c r="U27" s="86">
        <f t="shared" si="11"/>
        <v>0</v>
      </c>
      <c r="V27" s="98">
        <f t="shared" si="12"/>
        <v>0</v>
      </c>
    </row>
    <row r="28" spans="1:22" ht="15" x14ac:dyDescent="0.25">
      <c r="A28" s="97">
        <f t="shared" si="6"/>
        <v>26</v>
      </c>
      <c r="B28" s="86"/>
      <c r="C28" s="86"/>
      <c r="D28" s="86"/>
      <c r="E28" s="86">
        <v>1</v>
      </c>
      <c r="F28" s="95" t="s">
        <v>83</v>
      </c>
      <c r="G28" s="86"/>
      <c r="H28" s="86">
        <v>0</v>
      </c>
      <c r="I28" s="86">
        <v>0</v>
      </c>
      <c r="J28" s="86">
        <v>0</v>
      </c>
      <c r="K28" s="86">
        <v>0</v>
      </c>
      <c r="L28" s="86">
        <v>0</v>
      </c>
      <c r="M28" s="86">
        <f>VLOOKUP(F28,'Прайс Лазер'!$L$3:$M$9,2,0)</f>
        <v>93</v>
      </c>
      <c r="N28" s="86">
        <v>25</v>
      </c>
      <c r="O28" s="94">
        <f>VLOOKUP(E28,'Прайс Лазер'!$I$4:$J$21,2,0)</f>
        <v>1.1499999999999999</v>
      </c>
      <c r="P28" s="86">
        <f>HLOOKUP('Оценка лазера'!$E28,'Прайс Лазер'!$C$26:$T$34,1+VLOOKUP(F28,'Прайс Лазер'!$A$26:$B$34,2,0),0)</f>
        <v>21.849999999999998</v>
      </c>
      <c r="Q28" s="86">
        <f t="shared" si="7"/>
        <v>0</v>
      </c>
      <c r="R28" s="86">
        <f t="shared" si="8"/>
        <v>0</v>
      </c>
      <c r="S28" s="86">
        <f t="shared" si="9"/>
        <v>0</v>
      </c>
      <c r="T28" s="86">
        <f t="shared" si="10"/>
        <v>0</v>
      </c>
      <c r="U28" s="86">
        <f t="shared" si="11"/>
        <v>0</v>
      </c>
      <c r="V28" s="98">
        <f t="shared" si="12"/>
        <v>0</v>
      </c>
    </row>
    <row r="29" spans="1:22" ht="15" x14ac:dyDescent="0.25">
      <c r="A29" s="97">
        <f t="shared" si="6"/>
        <v>27</v>
      </c>
      <c r="B29" s="86"/>
      <c r="C29" s="86"/>
      <c r="D29" s="86"/>
      <c r="E29" s="86">
        <v>1</v>
      </c>
      <c r="F29" s="95" t="s">
        <v>83</v>
      </c>
      <c r="G29" s="86"/>
      <c r="H29" s="86">
        <v>0</v>
      </c>
      <c r="I29" s="86">
        <v>0</v>
      </c>
      <c r="J29" s="86">
        <v>0</v>
      </c>
      <c r="K29" s="86">
        <v>0</v>
      </c>
      <c r="L29" s="86">
        <v>0</v>
      </c>
      <c r="M29" s="86">
        <f>VLOOKUP(F29,'Прайс Лазер'!$L$3:$M$9,2,0)</f>
        <v>93</v>
      </c>
      <c r="N29" s="86">
        <v>25</v>
      </c>
      <c r="O29" s="94">
        <f>VLOOKUP(E29,'Прайс Лазер'!$I$4:$J$21,2,0)</f>
        <v>1.1499999999999999</v>
      </c>
      <c r="P29" s="86">
        <f>HLOOKUP('Оценка лазера'!$E29,'Прайс Лазер'!$C$26:$T$34,1+VLOOKUP(F29,'Прайс Лазер'!$A$26:$B$34,2,0),0)</f>
        <v>21.849999999999998</v>
      </c>
      <c r="Q29" s="86">
        <f t="shared" si="7"/>
        <v>0</v>
      </c>
      <c r="R29" s="86">
        <f t="shared" si="8"/>
        <v>0</v>
      </c>
      <c r="S29" s="86">
        <f t="shared" si="9"/>
        <v>0</v>
      </c>
      <c r="T29" s="86">
        <f t="shared" si="10"/>
        <v>0</v>
      </c>
      <c r="U29" s="86">
        <f t="shared" si="11"/>
        <v>0</v>
      </c>
      <c r="V29" s="98">
        <f t="shared" si="12"/>
        <v>0</v>
      </c>
    </row>
    <row r="30" spans="1:22" ht="15" x14ac:dyDescent="0.25">
      <c r="A30" s="97">
        <f t="shared" si="6"/>
        <v>28</v>
      </c>
      <c r="B30" s="86"/>
      <c r="C30" s="86"/>
      <c r="D30" s="86"/>
      <c r="E30" s="86">
        <v>1</v>
      </c>
      <c r="F30" s="95" t="s">
        <v>83</v>
      </c>
      <c r="G30" s="86"/>
      <c r="H30" s="86">
        <v>0</v>
      </c>
      <c r="I30" s="86">
        <v>0</v>
      </c>
      <c r="J30" s="86">
        <v>0</v>
      </c>
      <c r="K30" s="86">
        <v>0</v>
      </c>
      <c r="L30" s="86">
        <v>0</v>
      </c>
      <c r="M30" s="86">
        <f>VLOOKUP(F30,'Прайс Лазер'!$L$3:$M$9,2,0)</f>
        <v>93</v>
      </c>
      <c r="N30" s="86">
        <v>25</v>
      </c>
      <c r="O30" s="94">
        <f>VLOOKUP(E30,'Прайс Лазер'!$I$4:$J$21,2,0)</f>
        <v>1.1499999999999999</v>
      </c>
      <c r="P30" s="86">
        <f>HLOOKUP('Оценка лазера'!$E30,'Прайс Лазер'!$C$26:$T$34,1+VLOOKUP(F30,'Прайс Лазер'!$A$26:$B$34,2,0),0)</f>
        <v>21.849999999999998</v>
      </c>
      <c r="Q30" s="86">
        <f t="shared" si="7"/>
        <v>0</v>
      </c>
      <c r="R30" s="86">
        <f t="shared" si="8"/>
        <v>0</v>
      </c>
      <c r="S30" s="86">
        <f t="shared" si="9"/>
        <v>0</v>
      </c>
      <c r="T30" s="86">
        <f t="shared" si="10"/>
        <v>0</v>
      </c>
      <c r="U30" s="86">
        <f t="shared" si="11"/>
        <v>0</v>
      </c>
      <c r="V30" s="98">
        <f t="shared" si="12"/>
        <v>0</v>
      </c>
    </row>
    <row r="31" spans="1:22" ht="15" x14ac:dyDescent="0.25">
      <c r="A31" s="97">
        <f t="shared" si="6"/>
        <v>29</v>
      </c>
      <c r="B31" s="86"/>
      <c r="C31" s="86"/>
      <c r="D31" s="86"/>
      <c r="E31" s="86">
        <v>1</v>
      </c>
      <c r="F31" s="95" t="s">
        <v>83</v>
      </c>
      <c r="G31" s="86"/>
      <c r="H31" s="86">
        <v>0</v>
      </c>
      <c r="I31" s="86">
        <v>0</v>
      </c>
      <c r="J31" s="86">
        <v>0</v>
      </c>
      <c r="K31" s="86">
        <v>0</v>
      </c>
      <c r="L31" s="86">
        <v>0</v>
      </c>
      <c r="M31" s="86">
        <f>VLOOKUP(F31,'Прайс Лазер'!$L$3:$M$9,2,0)</f>
        <v>93</v>
      </c>
      <c r="N31" s="86">
        <v>25</v>
      </c>
      <c r="O31" s="94">
        <f>VLOOKUP(E31,'Прайс Лазер'!$I$4:$J$21,2,0)</f>
        <v>1.1499999999999999</v>
      </c>
      <c r="P31" s="86">
        <f>HLOOKUP('Оценка лазера'!$E31,'Прайс Лазер'!$C$26:$T$34,1+VLOOKUP(F31,'Прайс Лазер'!$A$26:$B$34,2,0),0)</f>
        <v>21.849999999999998</v>
      </c>
      <c r="Q31" s="86">
        <f t="shared" si="7"/>
        <v>0</v>
      </c>
      <c r="R31" s="86">
        <f t="shared" si="8"/>
        <v>0</v>
      </c>
      <c r="S31" s="86">
        <f t="shared" si="9"/>
        <v>0</v>
      </c>
      <c r="T31" s="86">
        <f t="shared" si="10"/>
        <v>0</v>
      </c>
      <c r="U31" s="86">
        <f t="shared" si="11"/>
        <v>0</v>
      </c>
      <c r="V31" s="98">
        <f t="shared" si="12"/>
        <v>0</v>
      </c>
    </row>
    <row r="32" spans="1:22" ht="15" x14ac:dyDescent="0.25">
      <c r="A32" s="97">
        <f t="shared" si="6"/>
        <v>30</v>
      </c>
      <c r="B32" s="86"/>
      <c r="C32" s="86"/>
      <c r="D32" s="86"/>
      <c r="E32" s="86">
        <v>1</v>
      </c>
      <c r="F32" s="95" t="s">
        <v>83</v>
      </c>
      <c r="G32" s="86"/>
      <c r="H32" s="86">
        <v>0</v>
      </c>
      <c r="I32" s="86">
        <v>0</v>
      </c>
      <c r="J32" s="86">
        <v>0</v>
      </c>
      <c r="K32" s="86">
        <v>0</v>
      </c>
      <c r="L32" s="86">
        <v>0</v>
      </c>
      <c r="M32" s="86">
        <f>VLOOKUP(F32,'Прайс Лазер'!$L$3:$M$9,2,0)</f>
        <v>93</v>
      </c>
      <c r="N32" s="86">
        <v>25</v>
      </c>
      <c r="O32" s="94">
        <f>VLOOKUP(E32,'Прайс Лазер'!$I$4:$J$21,2,0)</f>
        <v>1.1499999999999999</v>
      </c>
      <c r="P32" s="86">
        <f>HLOOKUP('Оценка лазера'!$E32,'Прайс Лазер'!$C$26:$T$34,1+VLOOKUP(F32,'Прайс Лазер'!$A$26:$B$34,2,0),0)</f>
        <v>21.849999999999998</v>
      </c>
      <c r="Q32" s="86">
        <f t="shared" si="7"/>
        <v>0</v>
      </c>
      <c r="R32" s="86">
        <f t="shared" si="8"/>
        <v>0</v>
      </c>
      <c r="S32" s="86">
        <f t="shared" si="9"/>
        <v>0</v>
      </c>
      <c r="T32" s="86">
        <f t="shared" si="10"/>
        <v>0</v>
      </c>
      <c r="U32" s="86">
        <f t="shared" si="11"/>
        <v>0</v>
      </c>
      <c r="V32" s="98">
        <f t="shared" si="12"/>
        <v>0</v>
      </c>
    </row>
    <row r="33" spans="1:22" ht="15" x14ac:dyDescent="0.25">
      <c r="A33" s="97">
        <f t="shared" si="6"/>
        <v>31</v>
      </c>
      <c r="B33" s="86"/>
      <c r="C33" s="86"/>
      <c r="D33" s="86"/>
      <c r="E33" s="86">
        <v>1</v>
      </c>
      <c r="F33" s="95" t="s">
        <v>83</v>
      </c>
      <c r="G33" s="86"/>
      <c r="H33" s="86">
        <v>0</v>
      </c>
      <c r="I33" s="86">
        <v>0</v>
      </c>
      <c r="J33" s="86">
        <v>0</v>
      </c>
      <c r="K33" s="86">
        <v>0</v>
      </c>
      <c r="L33" s="86">
        <v>0</v>
      </c>
      <c r="M33" s="86">
        <f>VLOOKUP(F33,'Прайс Лазер'!$L$3:$M$9,2,0)</f>
        <v>93</v>
      </c>
      <c r="N33" s="86">
        <v>25</v>
      </c>
      <c r="O33" s="94">
        <f>VLOOKUP(E33,'Прайс Лазер'!$I$4:$J$21,2,0)</f>
        <v>1.1499999999999999</v>
      </c>
      <c r="P33" s="86">
        <f>HLOOKUP('Оценка лазера'!$E33,'Прайс Лазер'!$C$26:$T$34,1+VLOOKUP(F33,'Прайс Лазер'!$A$26:$B$34,2,0),0)</f>
        <v>21.849999999999998</v>
      </c>
      <c r="Q33" s="86">
        <f t="shared" si="7"/>
        <v>0</v>
      </c>
      <c r="R33" s="86">
        <f t="shared" si="8"/>
        <v>0</v>
      </c>
      <c r="S33" s="86">
        <f t="shared" si="9"/>
        <v>0</v>
      </c>
      <c r="T33" s="86">
        <f t="shared" si="10"/>
        <v>0</v>
      </c>
      <c r="U33" s="86">
        <f t="shared" si="11"/>
        <v>0</v>
      </c>
      <c r="V33" s="98">
        <f t="shared" si="12"/>
        <v>0</v>
      </c>
    </row>
    <row r="34" spans="1:22" ht="15" x14ac:dyDescent="0.25">
      <c r="A34" s="97">
        <f t="shared" si="6"/>
        <v>32</v>
      </c>
      <c r="B34" s="86"/>
      <c r="C34" s="86"/>
      <c r="D34" s="86"/>
      <c r="E34" s="86">
        <v>1</v>
      </c>
      <c r="F34" s="95" t="s">
        <v>83</v>
      </c>
      <c r="G34" s="86"/>
      <c r="H34" s="86">
        <v>0</v>
      </c>
      <c r="I34" s="86">
        <v>0</v>
      </c>
      <c r="J34" s="86">
        <v>0</v>
      </c>
      <c r="K34" s="86">
        <v>0</v>
      </c>
      <c r="L34" s="86">
        <v>0</v>
      </c>
      <c r="M34" s="86">
        <f>VLOOKUP(F34,'Прайс Лазер'!$L$3:$M$9,2,0)</f>
        <v>93</v>
      </c>
      <c r="N34" s="86">
        <v>25</v>
      </c>
      <c r="O34" s="94">
        <f>VLOOKUP(E34,'Прайс Лазер'!$I$4:$J$21,2,0)</f>
        <v>1.1499999999999999</v>
      </c>
      <c r="P34" s="86">
        <f>HLOOKUP('Оценка лазера'!$E34,'Прайс Лазер'!$C$26:$T$34,1+VLOOKUP(F34,'Прайс Лазер'!$A$26:$B$34,2,0),0)</f>
        <v>21.849999999999998</v>
      </c>
      <c r="Q34" s="86">
        <f t="shared" si="7"/>
        <v>0</v>
      </c>
      <c r="R34" s="86">
        <f t="shared" si="8"/>
        <v>0</v>
      </c>
      <c r="S34" s="86">
        <f t="shared" si="9"/>
        <v>0</v>
      </c>
      <c r="T34" s="86">
        <f t="shared" si="10"/>
        <v>0</v>
      </c>
      <c r="U34" s="86">
        <f t="shared" si="11"/>
        <v>0</v>
      </c>
      <c r="V34" s="98">
        <f t="shared" si="12"/>
        <v>0</v>
      </c>
    </row>
    <row r="35" spans="1:22" ht="15" x14ac:dyDescent="0.25">
      <c r="A35" s="97">
        <f t="shared" si="6"/>
        <v>33</v>
      </c>
      <c r="B35" s="86"/>
      <c r="C35" s="86"/>
      <c r="D35" s="86"/>
      <c r="E35" s="86">
        <v>1</v>
      </c>
      <c r="F35" s="95" t="s">
        <v>83</v>
      </c>
      <c r="G35" s="86"/>
      <c r="H35" s="86">
        <v>0</v>
      </c>
      <c r="I35" s="86">
        <v>0</v>
      </c>
      <c r="J35" s="86">
        <v>0</v>
      </c>
      <c r="K35" s="86">
        <v>0</v>
      </c>
      <c r="L35" s="86">
        <v>0</v>
      </c>
      <c r="M35" s="86">
        <f>VLOOKUP(F35,'Прайс Лазер'!$L$3:$M$9,2,0)</f>
        <v>93</v>
      </c>
      <c r="N35" s="86">
        <v>25</v>
      </c>
      <c r="O35" s="94">
        <f>VLOOKUP(E35,'Прайс Лазер'!$I$4:$J$21,2,0)</f>
        <v>1.1499999999999999</v>
      </c>
      <c r="P35" s="86">
        <f>HLOOKUP('Оценка лазера'!$E35,'Прайс Лазер'!$C$26:$T$34,1+VLOOKUP(F35,'Прайс Лазер'!$A$26:$B$34,2,0),0)</f>
        <v>21.849999999999998</v>
      </c>
      <c r="Q35" s="86">
        <f t="shared" si="7"/>
        <v>0</v>
      </c>
      <c r="R35" s="86">
        <f t="shared" si="8"/>
        <v>0</v>
      </c>
      <c r="S35" s="86">
        <f t="shared" si="9"/>
        <v>0</v>
      </c>
      <c r="T35" s="86">
        <f t="shared" si="10"/>
        <v>0</v>
      </c>
      <c r="U35" s="86">
        <f t="shared" si="11"/>
        <v>0</v>
      </c>
      <c r="V35" s="98">
        <f t="shared" si="12"/>
        <v>0</v>
      </c>
    </row>
    <row r="36" spans="1:22" ht="15" x14ac:dyDescent="0.25">
      <c r="A36" s="97">
        <f t="shared" si="6"/>
        <v>34</v>
      </c>
      <c r="B36" s="86"/>
      <c r="C36" s="86"/>
      <c r="D36" s="86"/>
      <c r="E36" s="86">
        <v>1</v>
      </c>
      <c r="F36" s="95" t="s">
        <v>83</v>
      </c>
      <c r="G36" s="86"/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f>VLOOKUP(F36,'Прайс Лазер'!$L$3:$M$9,2,0)</f>
        <v>93</v>
      </c>
      <c r="N36" s="86">
        <v>25</v>
      </c>
      <c r="O36" s="94">
        <f>VLOOKUP(E36,'Прайс Лазер'!$I$4:$J$21,2,0)</f>
        <v>1.1499999999999999</v>
      </c>
      <c r="P36" s="86">
        <f>HLOOKUP('Оценка лазера'!$E36,'Прайс Лазер'!$C$26:$T$34,1+VLOOKUP(F36,'Прайс Лазер'!$A$26:$B$34,2,0),0)</f>
        <v>21.849999999999998</v>
      </c>
      <c r="Q36" s="86">
        <f t="shared" si="7"/>
        <v>0</v>
      </c>
      <c r="R36" s="86">
        <f t="shared" si="8"/>
        <v>0</v>
      </c>
      <c r="S36" s="86">
        <f t="shared" si="9"/>
        <v>0</v>
      </c>
      <c r="T36" s="86">
        <f t="shared" si="10"/>
        <v>0</v>
      </c>
      <c r="U36" s="86">
        <f t="shared" si="11"/>
        <v>0</v>
      </c>
      <c r="V36" s="98">
        <f t="shared" si="12"/>
        <v>0</v>
      </c>
    </row>
    <row r="37" spans="1:22" ht="15" x14ac:dyDescent="0.25">
      <c r="A37" s="97">
        <f t="shared" si="6"/>
        <v>35</v>
      </c>
      <c r="B37" s="86"/>
      <c r="C37" s="86"/>
      <c r="D37" s="86"/>
      <c r="E37" s="86">
        <v>1</v>
      </c>
      <c r="F37" s="95" t="s">
        <v>83</v>
      </c>
      <c r="G37" s="86"/>
      <c r="H37" s="86">
        <v>0</v>
      </c>
      <c r="I37" s="86">
        <v>0</v>
      </c>
      <c r="J37" s="86">
        <v>0</v>
      </c>
      <c r="K37" s="86">
        <v>0</v>
      </c>
      <c r="L37" s="86">
        <v>0</v>
      </c>
      <c r="M37" s="86">
        <f>VLOOKUP(F37,'Прайс Лазер'!$L$3:$M$9,2,0)</f>
        <v>93</v>
      </c>
      <c r="N37" s="86">
        <v>25</v>
      </c>
      <c r="O37" s="94">
        <f>VLOOKUP(E37,'Прайс Лазер'!$I$4:$J$21,2,0)</f>
        <v>1.1499999999999999</v>
      </c>
      <c r="P37" s="86">
        <f>HLOOKUP('Оценка лазера'!$E37,'Прайс Лазер'!$C$26:$T$34,1+VLOOKUP(F37,'Прайс Лазер'!$A$26:$B$34,2,0),0)</f>
        <v>21.849999999999998</v>
      </c>
      <c r="Q37" s="86">
        <f t="shared" si="7"/>
        <v>0</v>
      </c>
      <c r="R37" s="86">
        <f t="shared" si="8"/>
        <v>0</v>
      </c>
      <c r="S37" s="86">
        <f t="shared" si="9"/>
        <v>0</v>
      </c>
      <c r="T37" s="86">
        <f t="shared" si="10"/>
        <v>0</v>
      </c>
      <c r="U37" s="86">
        <f t="shared" si="11"/>
        <v>0</v>
      </c>
      <c r="V37" s="98">
        <f t="shared" si="12"/>
        <v>0</v>
      </c>
    </row>
    <row r="38" spans="1:22" ht="15" x14ac:dyDescent="0.25">
      <c r="A38" s="97">
        <f t="shared" si="6"/>
        <v>36</v>
      </c>
      <c r="B38" s="86"/>
      <c r="C38" s="86"/>
      <c r="D38" s="86"/>
      <c r="E38" s="86">
        <v>1</v>
      </c>
      <c r="F38" s="95" t="s">
        <v>83</v>
      </c>
      <c r="G38" s="86"/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f>VLOOKUP(F38,'Прайс Лазер'!$L$3:$M$9,2,0)</f>
        <v>93</v>
      </c>
      <c r="N38" s="86">
        <v>25</v>
      </c>
      <c r="O38" s="94">
        <f>VLOOKUP(E38,'Прайс Лазер'!$I$4:$J$21,2,0)</f>
        <v>1.1499999999999999</v>
      </c>
      <c r="P38" s="86">
        <f>HLOOKUP('Оценка лазера'!$E38,'Прайс Лазер'!$C$26:$T$34,1+VLOOKUP(F38,'Прайс Лазер'!$A$26:$B$34,2,0),0)</f>
        <v>21.849999999999998</v>
      </c>
      <c r="Q38" s="86">
        <f t="shared" si="7"/>
        <v>0</v>
      </c>
      <c r="R38" s="86">
        <f t="shared" si="8"/>
        <v>0</v>
      </c>
      <c r="S38" s="86">
        <f t="shared" si="9"/>
        <v>0</v>
      </c>
      <c r="T38" s="86">
        <f t="shared" si="10"/>
        <v>0</v>
      </c>
      <c r="U38" s="86">
        <f t="shared" si="11"/>
        <v>0</v>
      </c>
      <c r="V38" s="98">
        <f t="shared" si="12"/>
        <v>0</v>
      </c>
    </row>
    <row r="39" spans="1:22" ht="15" x14ac:dyDescent="0.25">
      <c r="A39" s="97">
        <f t="shared" si="6"/>
        <v>37</v>
      </c>
      <c r="B39" s="86"/>
      <c r="C39" s="86"/>
      <c r="D39" s="86"/>
      <c r="E39" s="86">
        <v>1</v>
      </c>
      <c r="F39" s="95" t="s">
        <v>83</v>
      </c>
      <c r="G39" s="86"/>
      <c r="H39" s="86">
        <v>0</v>
      </c>
      <c r="I39" s="86">
        <v>0</v>
      </c>
      <c r="J39" s="86">
        <v>0</v>
      </c>
      <c r="K39" s="86">
        <v>0</v>
      </c>
      <c r="L39" s="86">
        <v>0</v>
      </c>
      <c r="M39" s="86">
        <f>VLOOKUP(F39,'Прайс Лазер'!$L$3:$M$9,2,0)</f>
        <v>93</v>
      </c>
      <c r="N39" s="86">
        <v>25</v>
      </c>
      <c r="O39" s="94">
        <f>VLOOKUP(E39,'Прайс Лазер'!$I$4:$J$21,2,0)</f>
        <v>1.1499999999999999</v>
      </c>
      <c r="P39" s="86">
        <f>HLOOKUP('Оценка лазера'!$E39,'Прайс Лазер'!$C$26:$T$34,1+VLOOKUP(F39,'Прайс Лазер'!$A$26:$B$34,2,0),0)</f>
        <v>21.849999999999998</v>
      </c>
      <c r="Q39" s="86">
        <f t="shared" si="7"/>
        <v>0</v>
      </c>
      <c r="R39" s="86">
        <f t="shared" si="8"/>
        <v>0</v>
      </c>
      <c r="S39" s="86">
        <f t="shared" si="9"/>
        <v>0</v>
      </c>
      <c r="T39" s="86">
        <f t="shared" si="10"/>
        <v>0</v>
      </c>
      <c r="U39" s="86">
        <f t="shared" si="11"/>
        <v>0</v>
      </c>
      <c r="V39" s="98">
        <f t="shared" si="12"/>
        <v>0</v>
      </c>
    </row>
    <row r="40" spans="1:22" ht="15" x14ac:dyDescent="0.25">
      <c r="A40" s="97">
        <f t="shared" si="6"/>
        <v>38</v>
      </c>
      <c r="B40" s="86"/>
      <c r="C40" s="86"/>
      <c r="D40" s="86"/>
      <c r="E40" s="86">
        <v>1</v>
      </c>
      <c r="F40" s="95" t="s">
        <v>83</v>
      </c>
      <c r="G40" s="86"/>
      <c r="H40" s="86">
        <v>0</v>
      </c>
      <c r="I40" s="86">
        <v>0</v>
      </c>
      <c r="J40" s="86">
        <v>0</v>
      </c>
      <c r="K40" s="86">
        <v>0</v>
      </c>
      <c r="L40" s="86">
        <v>0</v>
      </c>
      <c r="M40" s="86">
        <f>VLOOKUP(F40,'Прайс Лазер'!$L$3:$M$9,2,0)</f>
        <v>93</v>
      </c>
      <c r="N40" s="86">
        <v>25</v>
      </c>
      <c r="O40" s="94">
        <f>VLOOKUP(E40,'Прайс Лазер'!$I$4:$J$21,2,0)</f>
        <v>1.1499999999999999</v>
      </c>
      <c r="P40" s="86">
        <f>HLOOKUP('Оценка лазера'!$E40,'Прайс Лазер'!$C$26:$T$34,1+VLOOKUP(F40,'Прайс Лазер'!$A$26:$B$34,2,0),0)</f>
        <v>21.849999999999998</v>
      </c>
      <c r="Q40" s="86">
        <f t="shared" si="7"/>
        <v>0</v>
      </c>
      <c r="R40" s="86">
        <f t="shared" si="8"/>
        <v>0</v>
      </c>
      <c r="S40" s="86">
        <f t="shared" si="9"/>
        <v>0</v>
      </c>
      <c r="T40" s="86">
        <f t="shared" si="10"/>
        <v>0</v>
      </c>
      <c r="U40" s="86">
        <f t="shared" si="11"/>
        <v>0</v>
      </c>
      <c r="V40" s="98">
        <f t="shared" si="12"/>
        <v>0</v>
      </c>
    </row>
    <row r="41" spans="1:22" ht="15" x14ac:dyDescent="0.25">
      <c r="A41" s="97">
        <f t="shared" si="6"/>
        <v>39</v>
      </c>
      <c r="B41" s="86"/>
      <c r="C41" s="86"/>
      <c r="D41" s="86"/>
      <c r="E41" s="86">
        <v>1</v>
      </c>
      <c r="F41" s="95" t="s">
        <v>83</v>
      </c>
      <c r="G41" s="86"/>
      <c r="H41" s="86">
        <v>0</v>
      </c>
      <c r="I41" s="86">
        <v>0</v>
      </c>
      <c r="J41" s="86">
        <v>0</v>
      </c>
      <c r="K41" s="86">
        <v>0</v>
      </c>
      <c r="L41" s="86">
        <v>0</v>
      </c>
      <c r="M41" s="86">
        <f>VLOOKUP(F41,'Прайс Лазер'!$L$3:$M$9,2,0)</f>
        <v>93</v>
      </c>
      <c r="N41" s="86">
        <v>25</v>
      </c>
      <c r="O41" s="94">
        <f>VLOOKUP(E41,'Прайс Лазер'!$I$4:$J$21,2,0)</f>
        <v>1.1499999999999999</v>
      </c>
      <c r="P41" s="86">
        <f>HLOOKUP('Оценка лазера'!$E41,'Прайс Лазер'!$C$26:$T$34,1+VLOOKUP(F41,'Прайс Лазер'!$A$26:$B$34,2,0),0)</f>
        <v>21.849999999999998</v>
      </c>
      <c r="Q41" s="86">
        <f t="shared" si="7"/>
        <v>0</v>
      </c>
      <c r="R41" s="86">
        <f t="shared" si="8"/>
        <v>0</v>
      </c>
      <c r="S41" s="86">
        <f t="shared" si="9"/>
        <v>0</v>
      </c>
      <c r="T41" s="86">
        <f t="shared" si="10"/>
        <v>0</v>
      </c>
      <c r="U41" s="86">
        <f t="shared" si="11"/>
        <v>0</v>
      </c>
      <c r="V41" s="98">
        <f t="shared" si="12"/>
        <v>0</v>
      </c>
    </row>
    <row r="42" spans="1:22" ht="15" x14ac:dyDescent="0.25">
      <c r="A42" s="97">
        <f t="shared" si="6"/>
        <v>40</v>
      </c>
      <c r="B42" s="86"/>
      <c r="C42" s="86"/>
      <c r="D42" s="86"/>
      <c r="E42" s="86">
        <v>1</v>
      </c>
      <c r="F42" s="95" t="s">
        <v>83</v>
      </c>
      <c r="G42" s="86"/>
      <c r="H42" s="86">
        <v>0</v>
      </c>
      <c r="I42" s="86">
        <v>0</v>
      </c>
      <c r="J42" s="86">
        <v>0</v>
      </c>
      <c r="K42" s="86">
        <v>0</v>
      </c>
      <c r="L42" s="86">
        <v>0</v>
      </c>
      <c r="M42" s="86">
        <f>VLOOKUP(F42,'Прайс Лазер'!$L$3:$M$9,2,0)</f>
        <v>93</v>
      </c>
      <c r="N42" s="86">
        <v>25</v>
      </c>
      <c r="O42" s="94">
        <f>VLOOKUP(E42,'Прайс Лазер'!$I$4:$J$21,2,0)</f>
        <v>1.1499999999999999</v>
      </c>
      <c r="P42" s="86">
        <f>HLOOKUP('Оценка лазера'!$E42,'Прайс Лазер'!$C$26:$T$34,1+VLOOKUP(F42,'Прайс Лазер'!$A$26:$B$34,2,0),0)</f>
        <v>21.849999999999998</v>
      </c>
      <c r="Q42" s="86">
        <f t="shared" si="7"/>
        <v>0</v>
      </c>
      <c r="R42" s="86">
        <f t="shared" si="8"/>
        <v>0</v>
      </c>
      <c r="S42" s="86">
        <f t="shared" si="9"/>
        <v>0</v>
      </c>
      <c r="T42" s="86">
        <f t="shared" si="10"/>
        <v>0</v>
      </c>
      <c r="U42" s="86">
        <f t="shared" si="11"/>
        <v>0</v>
      </c>
      <c r="V42" s="98">
        <f t="shared" si="12"/>
        <v>0</v>
      </c>
    </row>
    <row r="43" spans="1:22" ht="15" x14ac:dyDescent="0.25">
      <c r="A43" s="97">
        <f t="shared" si="6"/>
        <v>41</v>
      </c>
      <c r="B43" s="86"/>
      <c r="C43" s="86"/>
      <c r="D43" s="86"/>
      <c r="E43" s="86">
        <v>1</v>
      </c>
      <c r="F43" s="95" t="s">
        <v>83</v>
      </c>
      <c r="G43" s="86"/>
      <c r="H43" s="86">
        <v>0</v>
      </c>
      <c r="I43" s="86">
        <v>0</v>
      </c>
      <c r="J43" s="86">
        <v>0</v>
      </c>
      <c r="K43" s="86">
        <v>0</v>
      </c>
      <c r="L43" s="86">
        <v>0</v>
      </c>
      <c r="M43" s="86">
        <f>VLOOKUP(F43,'Прайс Лазер'!$L$3:$M$9,2,0)</f>
        <v>93</v>
      </c>
      <c r="N43" s="86">
        <v>25</v>
      </c>
      <c r="O43" s="94">
        <f>VLOOKUP(E43,'Прайс Лазер'!$I$4:$J$21,2,0)</f>
        <v>1.1499999999999999</v>
      </c>
      <c r="P43" s="86">
        <f>HLOOKUP('Оценка лазера'!$E43,'Прайс Лазер'!$C$26:$T$34,1+VLOOKUP(F43,'Прайс Лазер'!$A$26:$B$34,2,0),0)</f>
        <v>21.849999999999998</v>
      </c>
      <c r="Q43" s="86">
        <f t="shared" si="7"/>
        <v>0</v>
      </c>
      <c r="R43" s="86">
        <f t="shared" si="8"/>
        <v>0</v>
      </c>
      <c r="S43" s="86">
        <f t="shared" si="9"/>
        <v>0</v>
      </c>
      <c r="T43" s="86">
        <f t="shared" si="10"/>
        <v>0</v>
      </c>
      <c r="U43" s="86">
        <f t="shared" si="11"/>
        <v>0</v>
      </c>
      <c r="V43" s="98">
        <f t="shared" si="12"/>
        <v>0</v>
      </c>
    </row>
    <row r="44" spans="1:22" ht="15" x14ac:dyDescent="0.25">
      <c r="A44" s="97">
        <f t="shared" si="6"/>
        <v>42</v>
      </c>
      <c r="B44" s="86"/>
      <c r="C44" s="86"/>
      <c r="D44" s="86"/>
      <c r="E44" s="86">
        <v>1</v>
      </c>
      <c r="F44" s="95" t="s">
        <v>83</v>
      </c>
      <c r="G44" s="86"/>
      <c r="H44" s="86">
        <v>0</v>
      </c>
      <c r="I44" s="86">
        <v>0</v>
      </c>
      <c r="J44" s="86">
        <v>0</v>
      </c>
      <c r="K44" s="86">
        <v>0</v>
      </c>
      <c r="L44" s="86">
        <v>0</v>
      </c>
      <c r="M44" s="86">
        <f>VLOOKUP(F44,'Прайс Лазер'!$L$3:$M$9,2,0)</f>
        <v>93</v>
      </c>
      <c r="N44" s="86">
        <v>25</v>
      </c>
      <c r="O44" s="94">
        <f>VLOOKUP(E44,'Прайс Лазер'!$I$4:$J$21,2,0)</f>
        <v>1.1499999999999999</v>
      </c>
      <c r="P44" s="86">
        <f>HLOOKUP('Оценка лазера'!$E44,'Прайс Лазер'!$C$26:$T$34,1+VLOOKUP(F44,'Прайс Лазер'!$A$26:$B$34,2,0),0)</f>
        <v>21.849999999999998</v>
      </c>
      <c r="Q44" s="86">
        <f t="shared" si="7"/>
        <v>0</v>
      </c>
      <c r="R44" s="86">
        <f t="shared" si="8"/>
        <v>0</v>
      </c>
      <c r="S44" s="86">
        <f t="shared" si="9"/>
        <v>0</v>
      </c>
      <c r="T44" s="86">
        <f t="shared" si="10"/>
        <v>0</v>
      </c>
      <c r="U44" s="86">
        <f t="shared" si="11"/>
        <v>0</v>
      </c>
      <c r="V44" s="98">
        <f t="shared" si="12"/>
        <v>0</v>
      </c>
    </row>
    <row r="45" spans="1:22" ht="15" x14ac:dyDescent="0.25">
      <c r="A45" s="97">
        <f t="shared" si="6"/>
        <v>43</v>
      </c>
      <c r="B45" s="86"/>
      <c r="C45" s="86"/>
      <c r="D45" s="86"/>
      <c r="E45" s="86">
        <v>1</v>
      </c>
      <c r="F45" s="95" t="s">
        <v>83</v>
      </c>
      <c r="G45" s="86"/>
      <c r="H45" s="86">
        <v>0</v>
      </c>
      <c r="I45" s="86">
        <v>0</v>
      </c>
      <c r="J45" s="86">
        <v>0</v>
      </c>
      <c r="K45" s="86">
        <v>0</v>
      </c>
      <c r="L45" s="86">
        <v>0</v>
      </c>
      <c r="M45" s="86">
        <f>VLOOKUP(F45,'Прайс Лазер'!$L$3:$M$9,2,0)</f>
        <v>93</v>
      </c>
      <c r="N45" s="86">
        <v>25</v>
      </c>
      <c r="O45" s="94">
        <f>VLOOKUP(E45,'Прайс Лазер'!$I$4:$J$21,2,0)</f>
        <v>1.1499999999999999</v>
      </c>
      <c r="P45" s="86">
        <f>HLOOKUP('Оценка лазера'!$E45,'Прайс Лазер'!$C$26:$T$34,1+VLOOKUP(F45,'Прайс Лазер'!$A$26:$B$34,2,0),0)</f>
        <v>21.849999999999998</v>
      </c>
      <c r="Q45" s="86">
        <f t="shared" si="7"/>
        <v>0</v>
      </c>
      <c r="R45" s="86">
        <f t="shared" si="8"/>
        <v>0</v>
      </c>
      <c r="S45" s="86">
        <f t="shared" si="9"/>
        <v>0</v>
      </c>
      <c r="T45" s="86">
        <f t="shared" si="10"/>
        <v>0</v>
      </c>
      <c r="U45" s="86">
        <f t="shared" si="11"/>
        <v>0</v>
      </c>
      <c r="V45" s="98">
        <f t="shared" si="12"/>
        <v>0</v>
      </c>
    </row>
    <row r="46" spans="1:22" ht="15" x14ac:dyDescent="0.25">
      <c r="A46" s="97">
        <f t="shared" si="6"/>
        <v>44</v>
      </c>
      <c r="B46" s="86"/>
      <c r="C46" s="86"/>
      <c r="D46" s="86"/>
      <c r="E46" s="86">
        <v>1</v>
      </c>
      <c r="F46" s="95" t="s">
        <v>83</v>
      </c>
      <c r="G46" s="86"/>
      <c r="H46" s="86">
        <v>0</v>
      </c>
      <c r="I46" s="86">
        <v>0</v>
      </c>
      <c r="J46" s="86">
        <v>0</v>
      </c>
      <c r="K46" s="86">
        <v>0</v>
      </c>
      <c r="L46" s="86">
        <v>0</v>
      </c>
      <c r="M46" s="86">
        <f>VLOOKUP(F46,'Прайс Лазер'!$L$3:$M$9,2,0)</f>
        <v>93</v>
      </c>
      <c r="N46" s="86">
        <v>25</v>
      </c>
      <c r="O46" s="94">
        <f>VLOOKUP(E46,'Прайс Лазер'!$I$4:$J$21,2,0)</f>
        <v>1.1499999999999999</v>
      </c>
      <c r="P46" s="86">
        <f>HLOOKUP('Оценка лазера'!$E46,'Прайс Лазер'!$C$26:$T$34,1+VLOOKUP(F46,'Прайс Лазер'!$A$26:$B$34,2,0),0)</f>
        <v>21.849999999999998</v>
      </c>
      <c r="Q46" s="86">
        <f t="shared" si="7"/>
        <v>0</v>
      </c>
      <c r="R46" s="86">
        <f t="shared" si="8"/>
        <v>0</v>
      </c>
      <c r="S46" s="86">
        <f t="shared" si="9"/>
        <v>0</v>
      </c>
      <c r="T46" s="86">
        <f t="shared" si="10"/>
        <v>0</v>
      </c>
      <c r="U46" s="86">
        <f t="shared" si="11"/>
        <v>0</v>
      </c>
      <c r="V46" s="98">
        <f t="shared" si="12"/>
        <v>0</v>
      </c>
    </row>
    <row r="47" spans="1:22" ht="15" x14ac:dyDescent="0.25">
      <c r="A47" s="97">
        <f t="shared" si="6"/>
        <v>45</v>
      </c>
      <c r="B47" s="86"/>
      <c r="C47" s="86"/>
      <c r="D47" s="86"/>
      <c r="E47" s="86">
        <v>1</v>
      </c>
      <c r="F47" s="95" t="s">
        <v>83</v>
      </c>
      <c r="G47" s="86"/>
      <c r="H47" s="86">
        <v>0</v>
      </c>
      <c r="I47" s="86">
        <v>0</v>
      </c>
      <c r="J47" s="86">
        <v>0</v>
      </c>
      <c r="K47" s="86">
        <v>0</v>
      </c>
      <c r="L47" s="86">
        <v>0</v>
      </c>
      <c r="M47" s="86">
        <f>VLOOKUP(F47,'Прайс Лазер'!$L$3:$M$9,2,0)</f>
        <v>93</v>
      </c>
      <c r="N47" s="86">
        <v>25</v>
      </c>
      <c r="O47" s="94">
        <f>VLOOKUP(E47,'Прайс Лазер'!$I$4:$J$21,2,0)</f>
        <v>1.1499999999999999</v>
      </c>
      <c r="P47" s="86">
        <f>HLOOKUP('Оценка лазера'!$E47,'Прайс Лазер'!$C$26:$T$34,1+VLOOKUP(F47,'Прайс Лазер'!$A$26:$B$34,2,0),0)</f>
        <v>21.849999999999998</v>
      </c>
      <c r="Q47" s="86">
        <f t="shared" si="7"/>
        <v>0</v>
      </c>
      <c r="R47" s="86">
        <f t="shared" si="8"/>
        <v>0</v>
      </c>
      <c r="S47" s="86">
        <f t="shared" si="9"/>
        <v>0</v>
      </c>
      <c r="T47" s="86">
        <f t="shared" si="10"/>
        <v>0</v>
      </c>
      <c r="U47" s="86">
        <f t="shared" si="11"/>
        <v>0</v>
      </c>
      <c r="V47" s="98">
        <f t="shared" si="12"/>
        <v>0</v>
      </c>
    </row>
    <row r="48" spans="1:22" ht="15" x14ac:dyDescent="0.25">
      <c r="A48" s="97">
        <f t="shared" si="6"/>
        <v>46</v>
      </c>
      <c r="B48" s="86"/>
      <c r="C48" s="86"/>
      <c r="D48" s="86"/>
      <c r="E48" s="86">
        <v>1</v>
      </c>
      <c r="F48" s="95" t="s">
        <v>83</v>
      </c>
      <c r="G48" s="86"/>
      <c r="H48" s="86">
        <v>0</v>
      </c>
      <c r="I48" s="86">
        <v>0</v>
      </c>
      <c r="J48" s="86">
        <v>0</v>
      </c>
      <c r="K48" s="86">
        <v>0</v>
      </c>
      <c r="L48" s="86">
        <v>0</v>
      </c>
      <c r="M48" s="86">
        <f>VLOOKUP(F48,'Прайс Лазер'!$L$3:$M$9,2,0)</f>
        <v>93</v>
      </c>
      <c r="N48" s="86">
        <v>25</v>
      </c>
      <c r="O48" s="94">
        <f>VLOOKUP(E48,'Прайс Лазер'!$I$4:$J$21,2,0)</f>
        <v>1.1499999999999999</v>
      </c>
      <c r="P48" s="86">
        <f>HLOOKUP('Оценка лазера'!$E48,'Прайс Лазер'!$C$26:$T$34,1+VLOOKUP(F48,'Прайс Лазер'!$A$26:$B$34,2,0),0)</f>
        <v>21.849999999999998</v>
      </c>
      <c r="Q48" s="86">
        <f t="shared" si="7"/>
        <v>0</v>
      </c>
      <c r="R48" s="86">
        <f t="shared" si="8"/>
        <v>0</v>
      </c>
      <c r="S48" s="86">
        <f t="shared" si="9"/>
        <v>0</v>
      </c>
      <c r="T48" s="86">
        <f t="shared" si="10"/>
        <v>0</v>
      </c>
      <c r="U48" s="86">
        <f t="shared" si="11"/>
        <v>0</v>
      </c>
      <c r="V48" s="98">
        <f t="shared" si="12"/>
        <v>0</v>
      </c>
    </row>
    <row r="49" spans="1:22" ht="15" x14ac:dyDescent="0.25">
      <c r="A49" s="97">
        <f t="shared" si="6"/>
        <v>47</v>
      </c>
      <c r="B49" s="86"/>
      <c r="C49" s="86"/>
      <c r="D49" s="86"/>
      <c r="E49" s="86">
        <v>1</v>
      </c>
      <c r="F49" s="95" t="s">
        <v>83</v>
      </c>
      <c r="G49" s="86"/>
      <c r="H49" s="86">
        <v>0</v>
      </c>
      <c r="I49" s="86">
        <v>0</v>
      </c>
      <c r="J49" s="86">
        <v>0</v>
      </c>
      <c r="K49" s="86">
        <v>0</v>
      </c>
      <c r="L49" s="86">
        <v>0</v>
      </c>
      <c r="M49" s="86">
        <f>VLOOKUP(F49,'Прайс Лазер'!$L$3:$M$9,2,0)</f>
        <v>93</v>
      </c>
      <c r="N49" s="86">
        <v>25</v>
      </c>
      <c r="O49" s="94">
        <f>VLOOKUP(E49,'Прайс Лазер'!$I$4:$J$21,2,0)</f>
        <v>1.1499999999999999</v>
      </c>
      <c r="P49" s="86">
        <f>HLOOKUP('Оценка лазера'!$E49,'Прайс Лазер'!$C$26:$T$34,1+VLOOKUP(F49,'Прайс Лазер'!$A$26:$B$34,2,0),0)</f>
        <v>21.849999999999998</v>
      </c>
      <c r="Q49" s="86">
        <f t="shared" si="7"/>
        <v>0</v>
      </c>
      <c r="R49" s="86">
        <f t="shared" si="8"/>
        <v>0</v>
      </c>
      <c r="S49" s="86">
        <f t="shared" si="9"/>
        <v>0</v>
      </c>
      <c r="T49" s="86">
        <f t="shared" si="10"/>
        <v>0</v>
      </c>
      <c r="U49" s="86">
        <f t="shared" si="11"/>
        <v>0</v>
      </c>
      <c r="V49" s="98">
        <f t="shared" si="12"/>
        <v>0</v>
      </c>
    </row>
    <row r="50" spans="1:22" ht="15" x14ac:dyDescent="0.25">
      <c r="A50" s="97">
        <f t="shared" si="6"/>
        <v>48</v>
      </c>
      <c r="B50" s="86"/>
      <c r="C50" s="86"/>
      <c r="D50" s="86"/>
      <c r="E50" s="86">
        <v>1</v>
      </c>
      <c r="F50" s="95" t="s">
        <v>83</v>
      </c>
      <c r="G50" s="86"/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f>VLOOKUP(F50,'Прайс Лазер'!$L$3:$M$9,2,0)</f>
        <v>93</v>
      </c>
      <c r="N50" s="86">
        <v>25</v>
      </c>
      <c r="O50" s="94">
        <f>VLOOKUP(E50,'Прайс Лазер'!$I$4:$J$21,2,0)</f>
        <v>1.1499999999999999</v>
      </c>
      <c r="P50" s="86">
        <f>HLOOKUP('Оценка лазера'!$E50,'Прайс Лазер'!$C$26:$T$34,1+VLOOKUP(F50,'Прайс Лазер'!$A$26:$B$34,2,0),0)</f>
        <v>21.849999999999998</v>
      </c>
      <c r="Q50" s="86">
        <f t="shared" si="7"/>
        <v>0</v>
      </c>
      <c r="R50" s="86">
        <f t="shared" si="8"/>
        <v>0</v>
      </c>
      <c r="S50" s="86">
        <f t="shared" si="9"/>
        <v>0</v>
      </c>
      <c r="T50" s="86">
        <f t="shared" si="10"/>
        <v>0</v>
      </c>
      <c r="U50" s="86">
        <f t="shared" si="11"/>
        <v>0</v>
      </c>
      <c r="V50" s="98">
        <f t="shared" si="12"/>
        <v>0</v>
      </c>
    </row>
    <row r="51" spans="1:22" ht="15" x14ac:dyDescent="0.25">
      <c r="A51" s="97">
        <f t="shared" si="6"/>
        <v>49</v>
      </c>
      <c r="B51" s="86"/>
      <c r="C51" s="86"/>
      <c r="D51" s="86"/>
      <c r="E51" s="86">
        <v>1</v>
      </c>
      <c r="F51" s="95" t="s">
        <v>83</v>
      </c>
      <c r="G51" s="86"/>
      <c r="H51" s="86">
        <v>0</v>
      </c>
      <c r="I51" s="86">
        <v>0</v>
      </c>
      <c r="J51" s="86">
        <v>0</v>
      </c>
      <c r="K51" s="86">
        <v>0</v>
      </c>
      <c r="L51" s="86">
        <v>0</v>
      </c>
      <c r="M51" s="86">
        <f>VLOOKUP(F51,'Прайс Лазер'!$L$3:$M$9,2,0)</f>
        <v>93</v>
      </c>
      <c r="N51" s="86">
        <v>25</v>
      </c>
      <c r="O51" s="94">
        <f>VLOOKUP(E51,'Прайс Лазер'!$I$4:$J$21,2,0)</f>
        <v>1.1499999999999999</v>
      </c>
      <c r="P51" s="86">
        <f>HLOOKUP('Оценка лазера'!$E51,'Прайс Лазер'!$C$26:$T$34,1+VLOOKUP(F51,'Прайс Лазер'!$A$26:$B$34,2,0),0)</f>
        <v>21.849999999999998</v>
      </c>
      <c r="Q51" s="86">
        <f t="shared" si="7"/>
        <v>0</v>
      </c>
      <c r="R51" s="86">
        <f t="shared" si="8"/>
        <v>0</v>
      </c>
      <c r="S51" s="86">
        <f t="shared" si="9"/>
        <v>0</v>
      </c>
      <c r="T51" s="86">
        <f t="shared" si="10"/>
        <v>0</v>
      </c>
      <c r="U51" s="86">
        <f t="shared" si="11"/>
        <v>0</v>
      </c>
      <c r="V51" s="98">
        <f t="shared" si="12"/>
        <v>0</v>
      </c>
    </row>
    <row r="52" spans="1:22" ht="15" x14ac:dyDescent="0.25">
      <c r="A52" s="97">
        <f t="shared" si="6"/>
        <v>50</v>
      </c>
      <c r="B52" s="86"/>
      <c r="C52" s="86"/>
      <c r="D52" s="86"/>
      <c r="E52" s="86">
        <v>1</v>
      </c>
      <c r="F52" s="95" t="s">
        <v>83</v>
      </c>
      <c r="G52" s="86"/>
      <c r="H52" s="86">
        <v>0</v>
      </c>
      <c r="I52" s="86">
        <v>0</v>
      </c>
      <c r="J52" s="86">
        <v>0</v>
      </c>
      <c r="K52" s="86">
        <v>0</v>
      </c>
      <c r="L52" s="86">
        <v>0</v>
      </c>
      <c r="M52" s="86">
        <f>VLOOKUP(F52,'Прайс Лазер'!$L$3:$M$9,2,0)</f>
        <v>93</v>
      </c>
      <c r="N52" s="86">
        <v>25</v>
      </c>
      <c r="O52" s="94">
        <f>VLOOKUP(E52,'Прайс Лазер'!$I$4:$J$21,2,0)</f>
        <v>1.1499999999999999</v>
      </c>
      <c r="P52" s="86">
        <f>HLOOKUP('Оценка лазера'!$E52,'Прайс Лазер'!$C$26:$T$34,1+VLOOKUP(F52,'Прайс Лазер'!$A$26:$B$34,2,0),0)</f>
        <v>21.849999999999998</v>
      </c>
      <c r="Q52" s="86">
        <f t="shared" si="7"/>
        <v>0</v>
      </c>
      <c r="R52" s="86">
        <f t="shared" si="8"/>
        <v>0</v>
      </c>
      <c r="S52" s="86">
        <f t="shared" si="9"/>
        <v>0</v>
      </c>
      <c r="T52" s="86">
        <f t="shared" si="10"/>
        <v>0</v>
      </c>
      <c r="U52" s="86">
        <f t="shared" si="11"/>
        <v>0</v>
      </c>
      <c r="V52" s="98">
        <f t="shared" si="12"/>
        <v>0</v>
      </c>
    </row>
    <row r="53" spans="1:22" ht="15" x14ac:dyDescent="0.25">
      <c r="A53" s="97">
        <f t="shared" si="6"/>
        <v>51</v>
      </c>
      <c r="B53" s="86"/>
      <c r="C53" s="86"/>
      <c r="D53" s="86"/>
      <c r="E53" s="86">
        <v>1</v>
      </c>
      <c r="F53" s="95" t="s">
        <v>83</v>
      </c>
      <c r="G53" s="86"/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f>VLOOKUP(F53,'Прайс Лазер'!$L$3:$M$9,2,0)</f>
        <v>93</v>
      </c>
      <c r="N53" s="86">
        <v>25</v>
      </c>
      <c r="O53" s="94">
        <f>VLOOKUP(E53,'Прайс Лазер'!$I$4:$J$21,2,0)</f>
        <v>1.1499999999999999</v>
      </c>
      <c r="P53" s="86">
        <f>HLOOKUP('Оценка лазера'!$E53,'Прайс Лазер'!$C$26:$T$34,1+VLOOKUP(F53,'Прайс Лазер'!$A$26:$B$34,2,0),0)</f>
        <v>21.849999999999998</v>
      </c>
      <c r="Q53" s="86">
        <f t="shared" si="7"/>
        <v>0</v>
      </c>
      <c r="R53" s="86">
        <f t="shared" si="8"/>
        <v>0</v>
      </c>
      <c r="S53" s="86">
        <f t="shared" si="9"/>
        <v>0</v>
      </c>
      <c r="T53" s="86">
        <f t="shared" si="10"/>
        <v>0</v>
      </c>
      <c r="U53" s="86">
        <f t="shared" si="11"/>
        <v>0</v>
      </c>
      <c r="V53" s="98">
        <f t="shared" si="12"/>
        <v>0</v>
      </c>
    </row>
    <row r="54" spans="1:22" ht="15" x14ac:dyDescent="0.25">
      <c r="A54" s="97">
        <f t="shared" si="6"/>
        <v>52</v>
      </c>
      <c r="B54" s="86"/>
      <c r="C54" s="86"/>
      <c r="D54" s="86"/>
      <c r="E54" s="86">
        <v>1</v>
      </c>
      <c r="F54" s="95" t="s">
        <v>83</v>
      </c>
      <c r="G54" s="86"/>
      <c r="H54" s="86">
        <v>0</v>
      </c>
      <c r="I54" s="86">
        <v>0</v>
      </c>
      <c r="J54" s="86">
        <v>0</v>
      </c>
      <c r="K54" s="86">
        <v>0</v>
      </c>
      <c r="L54" s="86">
        <v>0</v>
      </c>
      <c r="M54" s="86">
        <f>VLOOKUP(F54,'Прайс Лазер'!$L$3:$M$9,2,0)</f>
        <v>93</v>
      </c>
      <c r="N54" s="86">
        <v>25</v>
      </c>
      <c r="O54" s="94">
        <f>VLOOKUP(E54,'Прайс Лазер'!$I$4:$J$21,2,0)</f>
        <v>1.1499999999999999</v>
      </c>
      <c r="P54" s="86">
        <f>HLOOKUP('Оценка лазера'!$E54,'Прайс Лазер'!$C$26:$T$34,1+VLOOKUP(F54,'Прайс Лазер'!$A$26:$B$34,2,0),0)</f>
        <v>21.849999999999998</v>
      </c>
      <c r="Q54" s="86">
        <f t="shared" si="7"/>
        <v>0</v>
      </c>
      <c r="R54" s="86">
        <f t="shared" si="8"/>
        <v>0</v>
      </c>
      <c r="S54" s="86">
        <f t="shared" si="9"/>
        <v>0</v>
      </c>
      <c r="T54" s="86">
        <f t="shared" si="10"/>
        <v>0</v>
      </c>
      <c r="U54" s="86">
        <f t="shared" si="11"/>
        <v>0</v>
      </c>
      <c r="V54" s="98">
        <f t="shared" si="12"/>
        <v>0</v>
      </c>
    </row>
    <row r="55" spans="1:22" ht="15" x14ac:dyDescent="0.25">
      <c r="A55" s="97">
        <f t="shared" si="6"/>
        <v>53</v>
      </c>
      <c r="B55" s="86"/>
      <c r="C55" s="86"/>
      <c r="D55" s="86"/>
      <c r="E55" s="86">
        <v>1</v>
      </c>
      <c r="F55" s="95" t="s">
        <v>83</v>
      </c>
      <c r="G55" s="86"/>
      <c r="H55" s="86">
        <v>0</v>
      </c>
      <c r="I55" s="86">
        <v>0</v>
      </c>
      <c r="J55" s="86">
        <v>0</v>
      </c>
      <c r="K55" s="86">
        <v>0</v>
      </c>
      <c r="L55" s="86">
        <v>0</v>
      </c>
      <c r="M55" s="86">
        <f>VLOOKUP(F55,'Прайс Лазер'!$L$3:$M$9,2,0)</f>
        <v>93</v>
      </c>
      <c r="N55" s="86">
        <v>25</v>
      </c>
      <c r="O55" s="94">
        <f>VLOOKUP(E55,'Прайс Лазер'!$I$4:$J$21,2,0)</f>
        <v>1.1499999999999999</v>
      </c>
      <c r="P55" s="86">
        <f>HLOOKUP('Оценка лазера'!$E55,'Прайс Лазер'!$C$26:$T$34,1+VLOOKUP(F55,'Прайс Лазер'!$A$26:$B$34,2,0),0)</f>
        <v>21.849999999999998</v>
      </c>
      <c r="Q55" s="86">
        <f t="shared" si="7"/>
        <v>0</v>
      </c>
      <c r="R55" s="86">
        <f t="shared" si="8"/>
        <v>0</v>
      </c>
      <c r="S55" s="86">
        <f t="shared" si="9"/>
        <v>0</v>
      </c>
      <c r="T55" s="86">
        <f t="shared" si="10"/>
        <v>0</v>
      </c>
      <c r="U55" s="86">
        <f t="shared" si="11"/>
        <v>0</v>
      </c>
      <c r="V55" s="98">
        <f t="shared" si="12"/>
        <v>0</v>
      </c>
    </row>
    <row r="56" spans="1:22" ht="15" x14ac:dyDescent="0.25">
      <c r="A56" s="97">
        <f t="shared" si="6"/>
        <v>54</v>
      </c>
      <c r="B56" s="86"/>
      <c r="C56" s="86"/>
      <c r="D56" s="86"/>
      <c r="E56" s="86">
        <v>1</v>
      </c>
      <c r="F56" s="95" t="s">
        <v>83</v>
      </c>
      <c r="G56" s="86"/>
      <c r="H56" s="86">
        <v>0</v>
      </c>
      <c r="I56" s="86">
        <v>0</v>
      </c>
      <c r="J56" s="86">
        <v>0</v>
      </c>
      <c r="K56" s="86">
        <v>0</v>
      </c>
      <c r="L56" s="86">
        <v>0</v>
      </c>
      <c r="M56" s="86">
        <f>VLOOKUP(F56,'Прайс Лазер'!$L$3:$M$9,2,0)</f>
        <v>93</v>
      </c>
      <c r="N56" s="86">
        <v>25</v>
      </c>
      <c r="O56" s="94">
        <f>VLOOKUP(E56,'Прайс Лазер'!$I$4:$J$21,2,0)</f>
        <v>1.1499999999999999</v>
      </c>
      <c r="P56" s="86">
        <f>HLOOKUP('Оценка лазера'!$E56,'Прайс Лазер'!$C$26:$T$34,1+VLOOKUP(F56,'Прайс Лазер'!$A$26:$B$34,2,0),0)</f>
        <v>21.849999999999998</v>
      </c>
      <c r="Q56" s="86">
        <f t="shared" si="7"/>
        <v>0</v>
      </c>
      <c r="R56" s="86">
        <f t="shared" si="8"/>
        <v>0</v>
      </c>
      <c r="S56" s="86">
        <f t="shared" si="9"/>
        <v>0</v>
      </c>
      <c r="T56" s="86">
        <f t="shared" si="10"/>
        <v>0</v>
      </c>
      <c r="U56" s="86">
        <f t="shared" si="11"/>
        <v>0</v>
      </c>
      <c r="V56" s="98">
        <f t="shared" si="12"/>
        <v>0</v>
      </c>
    </row>
    <row r="57" spans="1:22" ht="15" x14ac:dyDescent="0.25">
      <c r="A57" s="97">
        <f t="shared" si="6"/>
        <v>55</v>
      </c>
      <c r="B57" s="86"/>
      <c r="C57" s="86"/>
      <c r="D57" s="86"/>
      <c r="E57" s="86">
        <v>1</v>
      </c>
      <c r="F57" s="95" t="s">
        <v>83</v>
      </c>
      <c r="G57" s="86"/>
      <c r="H57" s="86">
        <v>0</v>
      </c>
      <c r="I57" s="86">
        <v>0</v>
      </c>
      <c r="J57" s="86">
        <v>0</v>
      </c>
      <c r="K57" s="86">
        <v>0</v>
      </c>
      <c r="L57" s="86">
        <v>0</v>
      </c>
      <c r="M57" s="86">
        <f>VLOOKUP(F57,'Прайс Лазер'!$L$3:$M$9,2,0)</f>
        <v>93</v>
      </c>
      <c r="N57" s="86">
        <v>25</v>
      </c>
      <c r="O57" s="94">
        <f>VLOOKUP(E57,'Прайс Лазер'!$I$4:$J$21,2,0)</f>
        <v>1.1499999999999999</v>
      </c>
      <c r="P57" s="86">
        <f>HLOOKUP('Оценка лазера'!$E57,'Прайс Лазер'!$C$26:$T$34,1+VLOOKUP(F57,'Прайс Лазер'!$A$26:$B$34,2,0),0)</f>
        <v>21.849999999999998</v>
      </c>
      <c r="Q57" s="86">
        <f t="shared" si="7"/>
        <v>0</v>
      </c>
      <c r="R57" s="86">
        <f t="shared" si="8"/>
        <v>0</v>
      </c>
      <c r="S57" s="86">
        <f t="shared" si="9"/>
        <v>0</v>
      </c>
      <c r="T57" s="86">
        <f t="shared" si="10"/>
        <v>0</v>
      </c>
      <c r="U57" s="86">
        <f t="shared" si="11"/>
        <v>0</v>
      </c>
      <c r="V57" s="98">
        <f t="shared" si="12"/>
        <v>0</v>
      </c>
    </row>
    <row r="58" spans="1:22" ht="15" x14ac:dyDescent="0.25">
      <c r="A58" s="97">
        <f t="shared" si="6"/>
        <v>56</v>
      </c>
      <c r="B58" s="86"/>
      <c r="C58" s="86"/>
      <c r="D58" s="86"/>
      <c r="E58" s="86">
        <v>1</v>
      </c>
      <c r="F58" s="95" t="s">
        <v>83</v>
      </c>
      <c r="G58" s="86"/>
      <c r="H58" s="86">
        <v>0</v>
      </c>
      <c r="I58" s="86">
        <v>0</v>
      </c>
      <c r="J58" s="86">
        <v>0</v>
      </c>
      <c r="K58" s="86">
        <v>0</v>
      </c>
      <c r="L58" s="86">
        <v>0</v>
      </c>
      <c r="M58" s="86">
        <f>VLOOKUP(F58,'Прайс Лазер'!$L$3:$M$9,2,0)</f>
        <v>93</v>
      </c>
      <c r="N58" s="86">
        <v>25</v>
      </c>
      <c r="O58" s="94">
        <f>VLOOKUP(E58,'Прайс Лазер'!$I$4:$J$21,2,0)</f>
        <v>1.1499999999999999</v>
      </c>
      <c r="P58" s="86">
        <f>HLOOKUP('Оценка лазера'!$E58,'Прайс Лазер'!$C$26:$T$34,1+VLOOKUP(F58,'Прайс Лазер'!$A$26:$B$34,2,0),0)</f>
        <v>21.849999999999998</v>
      </c>
      <c r="Q58" s="86">
        <f t="shared" si="7"/>
        <v>0</v>
      </c>
      <c r="R58" s="86">
        <f t="shared" si="8"/>
        <v>0</v>
      </c>
      <c r="S58" s="86">
        <f t="shared" si="9"/>
        <v>0</v>
      </c>
      <c r="T58" s="86">
        <f t="shared" si="10"/>
        <v>0</v>
      </c>
      <c r="U58" s="86">
        <f t="shared" si="11"/>
        <v>0</v>
      </c>
      <c r="V58" s="98">
        <f t="shared" si="12"/>
        <v>0</v>
      </c>
    </row>
    <row r="59" spans="1:22" ht="15" x14ac:dyDescent="0.25">
      <c r="A59" s="97">
        <f t="shared" si="6"/>
        <v>57</v>
      </c>
      <c r="B59" s="86"/>
      <c r="C59" s="86"/>
      <c r="D59" s="86"/>
      <c r="E59" s="86">
        <v>1</v>
      </c>
      <c r="F59" s="95" t="s">
        <v>83</v>
      </c>
      <c r="G59" s="86"/>
      <c r="H59" s="86">
        <v>0</v>
      </c>
      <c r="I59" s="86">
        <v>0</v>
      </c>
      <c r="J59" s="86">
        <v>0</v>
      </c>
      <c r="K59" s="86">
        <v>0</v>
      </c>
      <c r="L59" s="86">
        <v>0</v>
      </c>
      <c r="M59" s="86">
        <f>VLOOKUP(F59,'Прайс Лазер'!$L$3:$M$9,2,0)</f>
        <v>93</v>
      </c>
      <c r="N59" s="86">
        <v>25</v>
      </c>
      <c r="O59" s="94">
        <f>VLOOKUP(E59,'Прайс Лазер'!$I$4:$J$21,2,0)</f>
        <v>1.1499999999999999</v>
      </c>
      <c r="P59" s="86">
        <f>HLOOKUP('Оценка лазера'!$E59,'Прайс Лазер'!$C$26:$T$34,1+VLOOKUP(F59,'Прайс Лазер'!$A$26:$B$34,2,0),0)</f>
        <v>21.849999999999998</v>
      </c>
      <c r="Q59" s="86">
        <f t="shared" si="7"/>
        <v>0</v>
      </c>
      <c r="R59" s="86">
        <f t="shared" si="8"/>
        <v>0</v>
      </c>
      <c r="S59" s="86">
        <f t="shared" si="9"/>
        <v>0</v>
      </c>
      <c r="T59" s="86">
        <f t="shared" si="10"/>
        <v>0</v>
      </c>
      <c r="U59" s="86">
        <f t="shared" si="11"/>
        <v>0</v>
      </c>
      <c r="V59" s="98">
        <f t="shared" si="12"/>
        <v>0</v>
      </c>
    </row>
    <row r="60" spans="1:22" ht="15" x14ac:dyDescent="0.25">
      <c r="A60" s="97">
        <f t="shared" si="6"/>
        <v>58</v>
      </c>
      <c r="B60" s="86"/>
      <c r="C60" s="86"/>
      <c r="D60" s="86"/>
      <c r="E60" s="86">
        <v>1</v>
      </c>
      <c r="F60" s="95" t="s">
        <v>83</v>
      </c>
      <c r="G60" s="86"/>
      <c r="H60" s="86">
        <v>0</v>
      </c>
      <c r="I60" s="86">
        <v>0</v>
      </c>
      <c r="J60" s="86">
        <v>0</v>
      </c>
      <c r="K60" s="86">
        <v>0</v>
      </c>
      <c r="L60" s="86">
        <v>0</v>
      </c>
      <c r="M60" s="86">
        <f>VLOOKUP(F60,'Прайс Лазер'!$L$3:$M$9,2,0)</f>
        <v>93</v>
      </c>
      <c r="N60" s="86">
        <v>25</v>
      </c>
      <c r="O60" s="94">
        <f>VLOOKUP(E60,'Прайс Лазер'!$I$4:$J$21,2,0)</f>
        <v>1.1499999999999999</v>
      </c>
      <c r="P60" s="86">
        <f>HLOOKUP('Оценка лазера'!$E60,'Прайс Лазер'!$C$26:$T$34,1+VLOOKUP(F60,'Прайс Лазер'!$A$26:$B$34,2,0),0)</f>
        <v>21.849999999999998</v>
      </c>
      <c r="Q60" s="86">
        <f t="shared" si="7"/>
        <v>0</v>
      </c>
      <c r="R60" s="86">
        <f t="shared" si="8"/>
        <v>0</v>
      </c>
      <c r="S60" s="86">
        <f t="shared" si="9"/>
        <v>0</v>
      </c>
      <c r="T60" s="86">
        <f t="shared" si="10"/>
        <v>0</v>
      </c>
      <c r="U60" s="86">
        <f t="shared" si="11"/>
        <v>0</v>
      </c>
      <c r="V60" s="98">
        <f t="shared" si="12"/>
        <v>0</v>
      </c>
    </row>
    <row r="61" spans="1:22" ht="15" x14ac:dyDescent="0.25">
      <c r="A61" s="97">
        <f t="shared" si="6"/>
        <v>59</v>
      </c>
      <c r="B61" s="86"/>
      <c r="C61" s="86"/>
      <c r="D61" s="86"/>
      <c r="E61" s="86">
        <v>1</v>
      </c>
      <c r="F61" s="95" t="s">
        <v>83</v>
      </c>
      <c r="G61" s="86"/>
      <c r="H61" s="86">
        <v>0</v>
      </c>
      <c r="I61" s="86">
        <v>0</v>
      </c>
      <c r="J61" s="86">
        <v>0</v>
      </c>
      <c r="K61" s="86">
        <v>0</v>
      </c>
      <c r="L61" s="86">
        <v>0</v>
      </c>
      <c r="M61" s="86">
        <f>VLOOKUP(F61,'Прайс Лазер'!$L$3:$M$9,2,0)</f>
        <v>93</v>
      </c>
      <c r="N61" s="86">
        <v>25</v>
      </c>
      <c r="O61" s="94">
        <f>VLOOKUP(E61,'Прайс Лазер'!$I$4:$J$21,2,0)</f>
        <v>1.1499999999999999</v>
      </c>
      <c r="P61" s="86">
        <f>HLOOKUP('Оценка лазера'!$E61,'Прайс Лазер'!$C$26:$T$34,1+VLOOKUP(F61,'Прайс Лазер'!$A$26:$B$34,2,0),0)</f>
        <v>21.849999999999998</v>
      </c>
      <c r="Q61" s="86">
        <f t="shared" si="7"/>
        <v>0</v>
      </c>
      <c r="R61" s="86">
        <f t="shared" si="8"/>
        <v>0</v>
      </c>
      <c r="S61" s="86">
        <f t="shared" si="9"/>
        <v>0</v>
      </c>
      <c r="T61" s="86">
        <f t="shared" si="10"/>
        <v>0</v>
      </c>
      <c r="U61" s="86">
        <f t="shared" si="11"/>
        <v>0</v>
      </c>
      <c r="V61" s="98">
        <f t="shared" si="12"/>
        <v>0</v>
      </c>
    </row>
    <row r="62" spans="1:22" ht="15" x14ac:dyDescent="0.25">
      <c r="A62" s="97">
        <f t="shared" si="6"/>
        <v>60</v>
      </c>
      <c r="B62" s="86"/>
      <c r="C62" s="86"/>
      <c r="D62" s="86"/>
      <c r="E62" s="86">
        <v>1</v>
      </c>
      <c r="F62" s="95" t="s">
        <v>83</v>
      </c>
      <c r="G62" s="86"/>
      <c r="H62" s="86">
        <v>0</v>
      </c>
      <c r="I62" s="86">
        <v>0</v>
      </c>
      <c r="J62" s="86">
        <v>0</v>
      </c>
      <c r="K62" s="86">
        <v>0</v>
      </c>
      <c r="L62" s="86">
        <v>0</v>
      </c>
      <c r="M62" s="86">
        <f>VLOOKUP(F62,'Прайс Лазер'!$L$3:$M$9,2,0)</f>
        <v>93</v>
      </c>
      <c r="N62" s="86">
        <v>25</v>
      </c>
      <c r="O62" s="94">
        <f>VLOOKUP(E62,'Прайс Лазер'!$I$4:$J$21,2,0)</f>
        <v>1.1499999999999999</v>
      </c>
      <c r="P62" s="86">
        <f>HLOOKUP('Оценка лазера'!$E62,'Прайс Лазер'!$C$26:$T$34,1+VLOOKUP(F62,'Прайс Лазер'!$A$26:$B$34,2,0),0)</f>
        <v>21.849999999999998</v>
      </c>
      <c r="Q62" s="86">
        <f t="shared" si="7"/>
        <v>0</v>
      </c>
      <c r="R62" s="86">
        <f t="shared" si="8"/>
        <v>0</v>
      </c>
      <c r="S62" s="86">
        <f t="shared" si="9"/>
        <v>0</v>
      </c>
      <c r="T62" s="86">
        <f t="shared" si="10"/>
        <v>0</v>
      </c>
      <c r="U62" s="86">
        <f t="shared" si="11"/>
        <v>0</v>
      </c>
      <c r="V62" s="98">
        <f t="shared" si="12"/>
        <v>0</v>
      </c>
    </row>
    <row r="63" spans="1:22" ht="15" x14ac:dyDescent="0.25">
      <c r="A63" s="97">
        <f t="shared" si="6"/>
        <v>61</v>
      </c>
      <c r="B63" s="86"/>
      <c r="C63" s="86"/>
      <c r="D63" s="86"/>
      <c r="E63" s="86">
        <v>1</v>
      </c>
      <c r="F63" s="95" t="s">
        <v>83</v>
      </c>
      <c r="G63" s="86"/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86">
        <f>VLOOKUP(F63,'Прайс Лазер'!$L$3:$M$9,2,0)</f>
        <v>93</v>
      </c>
      <c r="N63" s="86">
        <v>25</v>
      </c>
      <c r="O63" s="94">
        <f>VLOOKUP(E63,'Прайс Лазер'!$I$4:$J$21,2,0)</f>
        <v>1.1499999999999999</v>
      </c>
      <c r="P63" s="86">
        <f>HLOOKUP('Оценка лазера'!$E63,'Прайс Лазер'!$C$26:$T$34,1+VLOOKUP(F63,'Прайс Лазер'!$A$26:$B$34,2,0),0)</f>
        <v>21.849999999999998</v>
      </c>
      <c r="Q63" s="86">
        <f t="shared" si="7"/>
        <v>0</v>
      </c>
      <c r="R63" s="86">
        <f t="shared" si="8"/>
        <v>0</v>
      </c>
      <c r="S63" s="86">
        <f t="shared" si="9"/>
        <v>0</v>
      </c>
      <c r="T63" s="86">
        <f t="shared" si="10"/>
        <v>0</v>
      </c>
      <c r="U63" s="86">
        <f t="shared" si="11"/>
        <v>0</v>
      </c>
      <c r="V63" s="98">
        <f t="shared" si="12"/>
        <v>0</v>
      </c>
    </row>
    <row r="64" spans="1:22" ht="15" x14ac:dyDescent="0.25">
      <c r="A64" s="97">
        <f t="shared" si="6"/>
        <v>62</v>
      </c>
      <c r="B64" s="86"/>
      <c r="C64" s="86"/>
      <c r="D64" s="86"/>
      <c r="E64" s="86">
        <v>1</v>
      </c>
      <c r="F64" s="95" t="s">
        <v>83</v>
      </c>
      <c r="G64" s="86"/>
      <c r="H64" s="86">
        <v>0</v>
      </c>
      <c r="I64" s="86">
        <v>0</v>
      </c>
      <c r="J64" s="86">
        <v>0</v>
      </c>
      <c r="K64" s="86">
        <v>0</v>
      </c>
      <c r="L64" s="86">
        <v>0</v>
      </c>
      <c r="M64" s="86">
        <f>VLOOKUP(F64,'Прайс Лазер'!$L$3:$M$9,2,0)</f>
        <v>93</v>
      </c>
      <c r="N64" s="86">
        <v>25</v>
      </c>
      <c r="O64" s="94">
        <f>VLOOKUP(E64,'Прайс Лазер'!$I$4:$J$21,2,0)</f>
        <v>1.1499999999999999</v>
      </c>
      <c r="P64" s="86">
        <f>HLOOKUP('Оценка лазера'!$E64,'Прайс Лазер'!$C$26:$T$34,1+VLOOKUP(F64,'Прайс Лазер'!$A$26:$B$34,2,0),0)</f>
        <v>21.849999999999998</v>
      </c>
      <c r="Q64" s="86">
        <f t="shared" si="7"/>
        <v>0</v>
      </c>
      <c r="R64" s="86">
        <f t="shared" si="8"/>
        <v>0</v>
      </c>
      <c r="S64" s="86">
        <f t="shared" si="9"/>
        <v>0</v>
      </c>
      <c r="T64" s="86">
        <f t="shared" si="10"/>
        <v>0</v>
      </c>
      <c r="U64" s="86">
        <f t="shared" si="11"/>
        <v>0</v>
      </c>
      <c r="V64" s="98">
        <f t="shared" si="12"/>
        <v>0</v>
      </c>
    </row>
    <row r="65" spans="1:22" ht="15" x14ac:dyDescent="0.25">
      <c r="A65" s="97">
        <f t="shared" si="6"/>
        <v>63</v>
      </c>
      <c r="B65" s="86"/>
      <c r="C65" s="86"/>
      <c r="D65" s="86"/>
      <c r="E65" s="86">
        <v>1</v>
      </c>
      <c r="F65" s="95" t="s">
        <v>83</v>
      </c>
      <c r="G65" s="86"/>
      <c r="H65" s="86">
        <v>0</v>
      </c>
      <c r="I65" s="86">
        <v>0</v>
      </c>
      <c r="J65" s="86">
        <v>0</v>
      </c>
      <c r="K65" s="86">
        <v>0</v>
      </c>
      <c r="L65" s="86">
        <v>0</v>
      </c>
      <c r="M65" s="86">
        <f>VLOOKUP(F65,'Прайс Лазер'!$L$3:$M$9,2,0)</f>
        <v>93</v>
      </c>
      <c r="N65" s="86">
        <v>25</v>
      </c>
      <c r="O65" s="94">
        <f>VLOOKUP(E65,'Прайс Лазер'!$I$4:$J$21,2,0)</f>
        <v>1.1499999999999999</v>
      </c>
      <c r="P65" s="86">
        <f>HLOOKUP('Оценка лазера'!$E65,'Прайс Лазер'!$C$26:$T$34,1+VLOOKUP(F65,'Прайс Лазер'!$A$26:$B$34,2,0),0)</f>
        <v>21.849999999999998</v>
      </c>
      <c r="Q65" s="86">
        <f t="shared" si="7"/>
        <v>0</v>
      </c>
      <c r="R65" s="86">
        <f t="shared" si="8"/>
        <v>0</v>
      </c>
      <c r="S65" s="86">
        <f t="shared" si="9"/>
        <v>0</v>
      </c>
      <c r="T65" s="86">
        <f t="shared" si="10"/>
        <v>0</v>
      </c>
      <c r="U65" s="86">
        <f t="shared" si="11"/>
        <v>0</v>
      </c>
      <c r="V65" s="98">
        <f t="shared" si="12"/>
        <v>0</v>
      </c>
    </row>
    <row r="66" spans="1:22" ht="15" x14ac:dyDescent="0.25">
      <c r="A66" s="97">
        <f t="shared" si="6"/>
        <v>64</v>
      </c>
      <c r="B66" s="86"/>
      <c r="C66" s="86"/>
      <c r="D66" s="86"/>
      <c r="E66" s="86">
        <v>1</v>
      </c>
      <c r="F66" s="95" t="s">
        <v>83</v>
      </c>
      <c r="G66" s="86"/>
      <c r="H66" s="86">
        <v>0</v>
      </c>
      <c r="I66" s="86">
        <v>0</v>
      </c>
      <c r="J66" s="86">
        <v>0</v>
      </c>
      <c r="K66" s="86">
        <v>0</v>
      </c>
      <c r="L66" s="86">
        <v>0</v>
      </c>
      <c r="M66" s="86">
        <f>VLOOKUP(F66,'Прайс Лазер'!$L$3:$M$9,2,0)</f>
        <v>93</v>
      </c>
      <c r="N66" s="86">
        <v>25</v>
      </c>
      <c r="O66" s="94">
        <f>VLOOKUP(E66,'Прайс Лазер'!$I$4:$J$21,2,0)</f>
        <v>1.1499999999999999</v>
      </c>
      <c r="P66" s="86">
        <f>HLOOKUP('Оценка лазера'!$E66,'Прайс Лазер'!$C$26:$T$34,1+VLOOKUP(F66,'Прайс Лазер'!$A$26:$B$34,2,0),0)</f>
        <v>21.849999999999998</v>
      </c>
      <c r="Q66" s="86">
        <f t="shared" si="7"/>
        <v>0</v>
      </c>
      <c r="R66" s="86">
        <f t="shared" si="8"/>
        <v>0</v>
      </c>
      <c r="S66" s="86">
        <f t="shared" si="9"/>
        <v>0</v>
      </c>
      <c r="T66" s="86">
        <f t="shared" si="10"/>
        <v>0</v>
      </c>
      <c r="U66" s="86">
        <f t="shared" si="11"/>
        <v>0</v>
      </c>
      <c r="V66" s="98">
        <f t="shared" si="12"/>
        <v>0</v>
      </c>
    </row>
    <row r="67" spans="1:22" ht="15" x14ac:dyDescent="0.25">
      <c r="A67" s="97">
        <f t="shared" si="6"/>
        <v>65</v>
      </c>
      <c r="B67" s="86"/>
      <c r="C67" s="86"/>
      <c r="D67" s="86"/>
      <c r="E67" s="86">
        <v>1</v>
      </c>
      <c r="F67" s="95" t="s">
        <v>83</v>
      </c>
      <c r="G67" s="86"/>
      <c r="H67" s="86">
        <v>0</v>
      </c>
      <c r="I67" s="86">
        <v>0</v>
      </c>
      <c r="J67" s="86">
        <v>0</v>
      </c>
      <c r="K67" s="86">
        <v>0</v>
      </c>
      <c r="L67" s="86">
        <v>0</v>
      </c>
      <c r="M67" s="86">
        <f>VLOOKUP(F67,'Прайс Лазер'!$L$3:$M$9,2,0)</f>
        <v>93</v>
      </c>
      <c r="N67" s="86">
        <v>25</v>
      </c>
      <c r="O67" s="94">
        <f>VLOOKUP(E67,'Прайс Лазер'!$I$4:$J$21,2,0)</f>
        <v>1.1499999999999999</v>
      </c>
      <c r="P67" s="86">
        <f>HLOOKUP('Оценка лазера'!$E67,'Прайс Лазер'!$C$26:$T$34,1+VLOOKUP(F67,'Прайс Лазер'!$A$26:$B$34,2,0),0)</f>
        <v>21.849999999999998</v>
      </c>
      <c r="Q67" s="86">
        <f t="shared" ref="Q67:Q130" si="13">H67*M67</f>
        <v>0</v>
      </c>
      <c r="R67" s="86">
        <f t="shared" ref="R67:R130" si="14">I67*N67</f>
        <v>0</v>
      </c>
      <c r="S67" s="86">
        <f t="shared" ref="S67:S130" si="15">(K67+L67)/1000*1.1*P67+(J67*O67)</f>
        <v>0</v>
      </c>
      <c r="T67" s="86">
        <f t="shared" si="10"/>
        <v>0</v>
      </c>
      <c r="U67" s="86">
        <f t="shared" ref="U67:U130" si="16">D67*T67</f>
        <v>0</v>
      </c>
      <c r="V67" s="98">
        <f t="shared" si="12"/>
        <v>0</v>
      </c>
    </row>
    <row r="68" spans="1:22" ht="15" x14ac:dyDescent="0.25">
      <c r="A68" s="97">
        <f t="shared" si="6"/>
        <v>66</v>
      </c>
      <c r="B68" s="86"/>
      <c r="C68" s="86"/>
      <c r="D68" s="86"/>
      <c r="E68" s="86">
        <v>1</v>
      </c>
      <c r="F68" s="95" t="s">
        <v>83</v>
      </c>
      <c r="G68" s="86"/>
      <c r="H68" s="86">
        <v>0</v>
      </c>
      <c r="I68" s="86">
        <v>0</v>
      </c>
      <c r="J68" s="86">
        <v>0</v>
      </c>
      <c r="K68" s="86">
        <v>0</v>
      </c>
      <c r="L68" s="86">
        <v>0</v>
      </c>
      <c r="M68" s="86">
        <f>VLOOKUP(F68,'Прайс Лазер'!$L$3:$M$9,2,0)</f>
        <v>93</v>
      </c>
      <c r="N68" s="86">
        <v>25</v>
      </c>
      <c r="O68" s="94">
        <f>VLOOKUP(E68,'Прайс Лазер'!$I$4:$J$21,2,0)</f>
        <v>1.1499999999999999</v>
      </c>
      <c r="P68" s="86">
        <f>HLOOKUP('Оценка лазера'!$E68,'Прайс Лазер'!$C$26:$T$34,1+VLOOKUP(F68,'Прайс Лазер'!$A$26:$B$34,2,0),0)</f>
        <v>21.849999999999998</v>
      </c>
      <c r="Q68" s="86">
        <f t="shared" si="13"/>
        <v>0</v>
      </c>
      <c r="R68" s="86">
        <f t="shared" si="14"/>
        <v>0</v>
      </c>
      <c r="S68" s="86">
        <f t="shared" si="15"/>
        <v>0</v>
      </c>
      <c r="T68" s="86">
        <f t="shared" ref="T68:T131" si="17">Q68+R68+S68</f>
        <v>0</v>
      </c>
      <c r="U68" s="86">
        <f t="shared" si="16"/>
        <v>0</v>
      </c>
      <c r="V68" s="98">
        <f t="shared" ref="V68:V131" si="18">U68/1.2</f>
        <v>0</v>
      </c>
    </row>
    <row r="69" spans="1:22" ht="15" x14ac:dyDescent="0.25">
      <c r="A69" s="97">
        <f t="shared" ref="A69:A132" si="19">A68+1</f>
        <v>67</v>
      </c>
      <c r="B69" s="86"/>
      <c r="C69" s="86"/>
      <c r="D69" s="86"/>
      <c r="E69" s="86">
        <v>1</v>
      </c>
      <c r="F69" s="95" t="s">
        <v>83</v>
      </c>
      <c r="G69" s="86"/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f>VLOOKUP(F69,'Прайс Лазер'!$L$3:$M$9,2,0)</f>
        <v>93</v>
      </c>
      <c r="N69" s="86">
        <v>25</v>
      </c>
      <c r="O69" s="94">
        <f>VLOOKUP(E69,'Прайс Лазер'!$I$4:$J$21,2,0)</f>
        <v>1.1499999999999999</v>
      </c>
      <c r="P69" s="86">
        <f>HLOOKUP('Оценка лазера'!$E69,'Прайс Лазер'!$C$26:$T$34,1+VLOOKUP(F69,'Прайс Лазер'!$A$26:$B$34,2,0),0)</f>
        <v>21.849999999999998</v>
      </c>
      <c r="Q69" s="86">
        <f t="shared" si="13"/>
        <v>0</v>
      </c>
      <c r="R69" s="86">
        <f t="shared" si="14"/>
        <v>0</v>
      </c>
      <c r="S69" s="86">
        <f t="shared" si="15"/>
        <v>0</v>
      </c>
      <c r="T69" s="86">
        <f t="shared" si="17"/>
        <v>0</v>
      </c>
      <c r="U69" s="86">
        <f t="shared" si="16"/>
        <v>0</v>
      </c>
      <c r="V69" s="98">
        <f t="shared" si="18"/>
        <v>0</v>
      </c>
    </row>
    <row r="70" spans="1:22" ht="15" x14ac:dyDescent="0.25">
      <c r="A70" s="97">
        <f t="shared" si="19"/>
        <v>68</v>
      </c>
      <c r="B70" s="86"/>
      <c r="C70" s="86"/>
      <c r="D70" s="86"/>
      <c r="E70" s="86">
        <v>1</v>
      </c>
      <c r="F70" s="95" t="s">
        <v>83</v>
      </c>
      <c r="G70" s="86"/>
      <c r="H70" s="86">
        <v>0</v>
      </c>
      <c r="I70" s="86">
        <v>0</v>
      </c>
      <c r="J70" s="86">
        <v>0</v>
      </c>
      <c r="K70" s="86">
        <v>0</v>
      </c>
      <c r="L70" s="86">
        <v>0</v>
      </c>
      <c r="M70" s="86">
        <f>VLOOKUP(F70,'Прайс Лазер'!$L$3:$M$9,2,0)</f>
        <v>93</v>
      </c>
      <c r="N70" s="86">
        <v>25</v>
      </c>
      <c r="O70" s="94">
        <f>VLOOKUP(E70,'Прайс Лазер'!$I$4:$J$21,2,0)</f>
        <v>1.1499999999999999</v>
      </c>
      <c r="P70" s="86">
        <f>HLOOKUP('Оценка лазера'!$E70,'Прайс Лазер'!$C$26:$T$34,1+VLOOKUP(F70,'Прайс Лазер'!$A$26:$B$34,2,0),0)</f>
        <v>21.849999999999998</v>
      </c>
      <c r="Q70" s="86">
        <f t="shared" si="13"/>
        <v>0</v>
      </c>
      <c r="R70" s="86">
        <f t="shared" si="14"/>
        <v>0</v>
      </c>
      <c r="S70" s="86">
        <f t="shared" si="15"/>
        <v>0</v>
      </c>
      <c r="T70" s="86">
        <f t="shared" si="17"/>
        <v>0</v>
      </c>
      <c r="U70" s="86">
        <f t="shared" si="16"/>
        <v>0</v>
      </c>
      <c r="V70" s="98">
        <f t="shared" si="18"/>
        <v>0</v>
      </c>
    </row>
    <row r="71" spans="1:22" ht="15" x14ac:dyDescent="0.25">
      <c r="A71" s="97">
        <f t="shared" si="19"/>
        <v>69</v>
      </c>
      <c r="B71" s="86"/>
      <c r="C71" s="86"/>
      <c r="D71" s="86"/>
      <c r="E71" s="86">
        <v>1</v>
      </c>
      <c r="F71" s="95" t="s">
        <v>83</v>
      </c>
      <c r="G71" s="86"/>
      <c r="H71" s="86">
        <v>0</v>
      </c>
      <c r="I71" s="86">
        <v>0</v>
      </c>
      <c r="J71" s="86">
        <v>0</v>
      </c>
      <c r="K71" s="86">
        <v>0</v>
      </c>
      <c r="L71" s="86">
        <v>0</v>
      </c>
      <c r="M71" s="86">
        <f>VLOOKUP(F71,'Прайс Лазер'!$L$3:$M$9,2,0)</f>
        <v>93</v>
      </c>
      <c r="N71" s="86">
        <v>25</v>
      </c>
      <c r="O71" s="94">
        <f>VLOOKUP(E71,'Прайс Лазер'!$I$4:$J$21,2,0)</f>
        <v>1.1499999999999999</v>
      </c>
      <c r="P71" s="86">
        <f>HLOOKUP('Оценка лазера'!$E71,'Прайс Лазер'!$C$26:$T$34,1+VLOOKUP(F71,'Прайс Лазер'!$A$26:$B$34,2,0),0)</f>
        <v>21.849999999999998</v>
      </c>
      <c r="Q71" s="86">
        <f t="shared" si="13"/>
        <v>0</v>
      </c>
      <c r="R71" s="86">
        <f t="shared" si="14"/>
        <v>0</v>
      </c>
      <c r="S71" s="86">
        <f t="shared" si="15"/>
        <v>0</v>
      </c>
      <c r="T71" s="86">
        <f t="shared" si="17"/>
        <v>0</v>
      </c>
      <c r="U71" s="86">
        <f t="shared" si="16"/>
        <v>0</v>
      </c>
      <c r="V71" s="98">
        <f t="shared" si="18"/>
        <v>0</v>
      </c>
    </row>
    <row r="72" spans="1:22" ht="15" x14ac:dyDescent="0.25">
      <c r="A72" s="97">
        <f t="shared" si="19"/>
        <v>70</v>
      </c>
      <c r="B72" s="86"/>
      <c r="C72" s="86"/>
      <c r="D72" s="86"/>
      <c r="E72" s="86">
        <v>1</v>
      </c>
      <c r="F72" s="95" t="s">
        <v>83</v>
      </c>
      <c r="G72" s="86"/>
      <c r="H72" s="86">
        <v>0</v>
      </c>
      <c r="I72" s="86">
        <v>0</v>
      </c>
      <c r="J72" s="86">
        <v>0</v>
      </c>
      <c r="K72" s="86">
        <v>0</v>
      </c>
      <c r="L72" s="86">
        <v>0</v>
      </c>
      <c r="M72" s="86">
        <f>VLOOKUP(F72,'Прайс Лазер'!$L$3:$M$9,2,0)</f>
        <v>93</v>
      </c>
      <c r="N72" s="86">
        <v>25</v>
      </c>
      <c r="O72" s="94">
        <f>VLOOKUP(E72,'Прайс Лазер'!$I$4:$J$21,2,0)</f>
        <v>1.1499999999999999</v>
      </c>
      <c r="P72" s="86">
        <f>HLOOKUP('Оценка лазера'!$E72,'Прайс Лазер'!$C$26:$T$34,1+VLOOKUP(F72,'Прайс Лазер'!$A$26:$B$34,2,0),0)</f>
        <v>21.849999999999998</v>
      </c>
      <c r="Q72" s="86">
        <f t="shared" si="13"/>
        <v>0</v>
      </c>
      <c r="R72" s="86">
        <f t="shared" si="14"/>
        <v>0</v>
      </c>
      <c r="S72" s="86">
        <f t="shared" si="15"/>
        <v>0</v>
      </c>
      <c r="T72" s="86">
        <f t="shared" si="17"/>
        <v>0</v>
      </c>
      <c r="U72" s="86">
        <f t="shared" si="16"/>
        <v>0</v>
      </c>
      <c r="V72" s="98">
        <f t="shared" si="18"/>
        <v>0</v>
      </c>
    </row>
    <row r="73" spans="1:22" ht="15" x14ac:dyDescent="0.25">
      <c r="A73" s="97">
        <f t="shared" si="19"/>
        <v>71</v>
      </c>
      <c r="B73" s="86"/>
      <c r="C73" s="86"/>
      <c r="D73" s="86"/>
      <c r="E73" s="86">
        <v>1</v>
      </c>
      <c r="F73" s="95" t="s">
        <v>83</v>
      </c>
      <c r="G73" s="86"/>
      <c r="H73" s="86">
        <v>0</v>
      </c>
      <c r="I73" s="86">
        <v>0</v>
      </c>
      <c r="J73" s="86">
        <v>0</v>
      </c>
      <c r="K73" s="86">
        <v>0</v>
      </c>
      <c r="L73" s="86">
        <v>0</v>
      </c>
      <c r="M73" s="86">
        <f>VLOOKUP(F73,'Прайс Лазер'!$L$3:$M$9,2,0)</f>
        <v>93</v>
      </c>
      <c r="N73" s="86">
        <v>25</v>
      </c>
      <c r="O73" s="94">
        <f>VLOOKUP(E73,'Прайс Лазер'!$I$4:$J$21,2,0)</f>
        <v>1.1499999999999999</v>
      </c>
      <c r="P73" s="86">
        <f>HLOOKUP('Оценка лазера'!$E73,'Прайс Лазер'!$C$26:$T$34,1+VLOOKUP(F73,'Прайс Лазер'!$A$26:$B$34,2,0),0)</f>
        <v>21.849999999999998</v>
      </c>
      <c r="Q73" s="86">
        <f t="shared" si="13"/>
        <v>0</v>
      </c>
      <c r="R73" s="86">
        <f t="shared" si="14"/>
        <v>0</v>
      </c>
      <c r="S73" s="86">
        <f t="shared" si="15"/>
        <v>0</v>
      </c>
      <c r="T73" s="86">
        <f t="shared" si="17"/>
        <v>0</v>
      </c>
      <c r="U73" s="86">
        <f t="shared" si="16"/>
        <v>0</v>
      </c>
      <c r="V73" s="98">
        <f t="shared" si="18"/>
        <v>0</v>
      </c>
    </row>
    <row r="74" spans="1:22" ht="15" x14ac:dyDescent="0.25">
      <c r="A74" s="97">
        <f t="shared" si="19"/>
        <v>72</v>
      </c>
      <c r="B74" s="86"/>
      <c r="C74" s="86"/>
      <c r="D74" s="86"/>
      <c r="E74" s="86">
        <v>1</v>
      </c>
      <c r="F74" s="95" t="s">
        <v>83</v>
      </c>
      <c r="G74" s="86"/>
      <c r="H74" s="86">
        <v>0</v>
      </c>
      <c r="I74" s="86">
        <v>0</v>
      </c>
      <c r="J74" s="86">
        <v>0</v>
      </c>
      <c r="K74" s="86">
        <v>0</v>
      </c>
      <c r="L74" s="86">
        <v>0</v>
      </c>
      <c r="M74" s="86">
        <f>VLOOKUP(F74,'Прайс Лазер'!$L$3:$M$9,2,0)</f>
        <v>93</v>
      </c>
      <c r="N74" s="86">
        <v>25</v>
      </c>
      <c r="O74" s="94">
        <f>VLOOKUP(E74,'Прайс Лазер'!$I$4:$J$21,2,0)</f>
        <v>1.1499999999999999</v>
      </c>
      <c r="P74" s="86">
        <f>HLOOKUP('Оценка лазера'!$E74,'Прайс Лазер'!$C$26:$T$34,1+VLOOKUP(F74,'Прайс Лазер'!$A$26:$B$34,2,0),0)</f>
        <v>21.849999999999998</v>
      </c>
      <c r="Q74" s="86">
        <f t="shared" si="13"/>
        <v>0</v>
      </c>
      <c r="R74" s="86">
        <f t="shared" si="14"/>
        <v>0</v>
      </c>
      <c r="S74" s="86">
        <f t="shared" si="15"/>
        <v>0</v>
      </c>
      <c r="T74" s="86">
        <f t="shared" si="17"/>
        <v>0</v>
      </c>
      <c r="U74" s="86">
        <f t="shared" si="16"/>
        <v>0</v>
      </c>
      <c r="V74" s="98">
        <f t="shared" si="18"/>
        <v>0</v>
      </c>
    </row>
    <row r="75" spans="1:22" ht="15" x14ac:dyDescent="0.25">
      <c r="A75" s="97">
        <f t="shared" si="19"/>
        <v>73</v>
      </c>
      <c r="B75" s="86"/>
      <c r="C75" s="86"/>
      <c r="D75" s="86"/>
      <c r="E75" s="86">
        <v>1</v>
      </c>
      <c r="F75" s="95" t="s">
        <v>83</v>
      </c>
      <c r="G75" s="86"/>
      <c r="H75" s="86">
        <v>0</v>
      </c>
      <c r="I75" s="86">
        <v>0</v>
      </c>
      <c r="J75" s="86">
        <v>0</v>
      </c>
      <c r="K75" s="86">
        <v>0</v>
      </c>
      <c r="L75" s="86">
        <v>0</v>
      </c>
      <c r="M75" s="86">
        <f>VLOOKUP(F75,'Прайс Лазер'!$L$3:$M$9,2,0)</f>
        <v>93</v>
      </c>
      <c r="N75" s="86">
        <v>25</v>
      </c>
      <c r="O75" s="94">
        <f>VLOOKUP(E75,'Прайс Лазер'!$I$4:$J$21,2,0)</f>
        <v>1.1499999999999999</v>
      </c>
      <c r="P75" s="86">
        <f>HLOOKUP('Оценка лазера'!$E75,'Прайс Лазер'!$C$26:$T$34,1+VLOOKUP(F75,'Прайс Лазер'!$A$26:$B$34,2,0),0)</f>
        <v>21.849999999999998</v>
      </c>
      <c r="Q75" s="86">
        <f t="shared" si="13"/>
        <v>0</v>
      </c>
      <c r="R75" s="86">
        <f t="shared" si="14"/>
        <v>0</v>
      </c>
      <c r="S75" s="86">
        <f t="shared" si="15"/>
        <v>0</v>
      </c>
      <c r="T75" s="86">
        <f t="shared" si="17"/>
        <v>0</v>
      </c>
      <c r="U75" s="86">
        <f t="shared" si="16"/>
        <v>0</v>
      </c>
      <c r="V75" s="98">
        <f t="shared" si="18"/>
        <v>0</v>
      </c>
    </row>
    <row r="76" spans="1:22" ht="15" x14ac:dyDescent="0.25">
      <c r="A76" s="97">
        <f t="shared" si="19"/>
        <v>74</v>
      </c>
      <c r="B76" s="86"/>
      <c r="C76" s="86"/>
      <c r="D76" s="86"/>
      <c r="E76" s="86">
        <v>1</v>
      </c>
      <c r="F76" s="95" t="s">
        <v>83</v>
      </c>
      <c r="G76" s="86"/>
      <c r="H76" s="86">
        <v>0</v>
      </c>
      <c r="I76" s="86">
        <v>0</v>
      </c>
      <c r="J76" s="86">
        <v>0</v>
      </c>
      <c r="K76" s="86">
        <v>0</v>
      </c>
      <c r="L76" s="86">
        <v>0</v>
      </c>
      <c r="M76" s="86">
        <f>VLOOKUP(F76,'Прайс Лазер'!$L$3:$M$9,2,0)</f>
        <v>93</v>
      </c>
      <c r="N76" s="86">
        <v>25</v>
      </c>
      <c r="O76" s="94">
        <f>VLOOKUP(E76,'Прайс Лазер'!$I$4:$J$21,2,0)</f>
        <v>1.1499999999999999</v>
      </c>
      <c r="P76" s="86">
        <f>HLOOKUP('Оценка лазера'!$E76,'Прайс Лазер'!$C$26:$T$34,1+VLOOKUP(F76,'Прайс Лазер'!$A$26:$B$34,2,0),0)</f>
        <v>21.849999999999998</v>
      </c>
      <c r="Q76" s="86">
        <f t="shared" si="13"/>
        <v>0</v>
      </c>
      <c r="R76" s="86">
        <f t="shared" si="14"/>
        <v>0</v>
      </c>
      <c r="S76" s="86">
        <f t="shared" si="15"/>
        <v>0</v>
      </c>
      <c r="T76" s="86">
        <f t="shared" si="17"/>
        <v>0</v>
      </c>
      <c r="U76" s="86">
        <f t="shared" si="16"/>
        <v>0</v>
      </c>
      <c r="V76" s="98">
        <f t="shared" si="18"/>
        <v>0</v>
      </c>
    </row>
    <row r="77" spans="1:22" ht="15" x14ac:dyDescent="0.25">
      <c r="A77" s="97">
        <f t="shared" si="19"/>
        <v>75</v>
      </c>
      <c r="B77" s="86"/>
      <c r="C77" s="86"/>
      <c r="D77" s="86"/>
      <c r="E77" s="86">
        <v>1</v>
      </c>
      <c r="F77" s="95" t="s">
        <v>83</v>
      </c>
      <c r="G77" s="86"/>
      <c r="H77" s="86">
        <v>0</v>
      </c>
      <c r="I77" s="86">
        <v>0</v>
      </c>
      <c r="J77" s="86">
        <v>0</v>
      </c>
      <c r="K77" s="86">
        <v>0</v>
      </c>
      <c r="L77" s="86">
        <v>0</v>
      </c>
      <c r="M77" s="86">
        <f>VLOOKUP(F77,'Прайс Лазер'!$L$3:$M$9,2,0)</f>
        <v>93</v>
      </c>
      <c r="N77" s="86">
        <v>25</v>
      </c>
      <c r="O77" s="94">
        <f>VLOOKUP(E77,'Прайс Лазер'!$I$4:$J$21,2,0)</f>
        <v>1.1499999999999999</v>
      </c>
      <c r="P77" s="86">
        <f>HLOOKUP('Оценка лазера'!$E77,'Прайс Лазер'!$C$26:$T$34,1+VLOOKUP(F77,'Прайс Лазер'!$A$26:$B$34,2,0),0)</f>
        <v>21.849999999999998</v>
      </c>
      <c r="Q77" s="86">
        <f t="shared" si="13"/>
        <v>0</v>
      </c>
      <c r="R77" s="86">
        <f t="shared" si="14"/>
        <v>0</v>
      </c>
      <c r="S77" s="86">
        <f t="shared" si="15"/>
        <v>0</v>
      </c>
      <c r="T77" s="86">
        <f t="shared" si="17"/>
        <v>0</v>
      </c>
      <c r="U77" s="86">
        <f t="shared" si="16"/>
        <v>0</v>
      </c>
      <c r="V77" s="98">
        <f t="shared" si="18"/>
        <v>0</v>
      </c>
    </row>
    <row r="78" spans="1:22" ht="15" x14ac:dyDescent="0.25">
      <c r="A78" s="97">
        <f t="shared" si="19"/>
        <v>76</v>
      </c>
      <c r="B78" s="86"/>
      <c r="C78" s="86"/>
      <c r="D78" s="86"/>
      <c r="E78" s="86">
        <v>1</v>
      </c>
      <c r="F78" s="95" t="s">
        <v>83</v>
      </c>
      <c r="G78" s="86"/>
      <c r="H78" s="86">
        <v>0</v>
      </c>
      <c r="I78" s="86">
        <v>0</v>
      </c>
      <c r="J78" s="86">
        <v>0</v>
      </c>
      <c r="K78" s="86">
        <v>0</v>
      </c>
      <c r="L78" s="86">
        <v>0</v>
      </c>
      <c r="M78" s="86">
        <f>VLOOKUP(F78,'Прайс Лазер'!$L$3:$M$9,2,0)</f>
        <v>93</v>
      </c>
      <c r="N78" s="86">
        <v>25</v>
      </c>
      <c r="O78" s="94">
        <f>VLOOKUP(E78,'Прайс Лазер'!$I$4:$J$21,2,0)</f>
        <v>1.1499999999999999</v>
      </c>
      <c r="P78" s="86">
        <f>HLOOKUP('Оценка лазера'!$E78,'Прайс Лазер'!$C$26:$T$34,1+VLOOKUP(F78,'Прайс Лазер'!$A$26:$B$34,2,0),0)</f>
        <v>21.849999999999998</v>
      </c>
      <c r="Q78" s="86">
        <f t="shared" si="13"/>
        <v>0</v>
      </c>
      <c r="R78" s="86">
        <f t="shared" si="14"/>
        <v>0</v>
      </c>
      <c r="S78" s="86">
        <f t="shared" si="15"/>
        <v>0</v>
      </c>
      <c r="T78" s="86">
        <f t="shared" si="17"/>
        <v>0</v>
      </c>
      <c r="U78" s="86">
        <f t="shared" si="16"/>
        <v>0</v>
      </c>
      <c r="V78" s="98">
        <f t="shared" si="18"/>
        <v>0</v>
      </c>
    </row>
    <row r="79" spans="1:22" ht="15" x14ac:dyDescent="0.25">
      <c r="A79" s="97">
        <f t="shared" si="19"/>
        <v>77</v>
      </c>
      <c r="B79" s="86"/>
      <c r="C79" s="86"/>
      <c r="D79" s="86"/>
      <c r="E79" s="86">
        <v>1</v>
      </c>
      <c r="F79" s="95" t="s">
        <v>83</v>
      </c>
      <c r="G79" s="86"/>
      <c r="H79" s="86">
        <v>0</v>
      </c>
      <c r="I79" s="86">
        <v>0</v>
      </c>
      <c r="J79" s="86">
        <v>0</v>
      </c>
      <c r="K79" s="86">
        <v>0</v>
      </c>
      <c r="L79" s="86">
        <v>0</v>
      </c>
      <c r="M79" s="86">
        <f>VLOOKUP(F79,'Прайс Лазер'!$L$3:$M$9,2,0)</f>
        <v>93</v>
      </c>
      <c r="N79" s="86">
        <v>25</v>
      </c>
      <c r="O79" s="94">
        <f>VLOOKUP(E79,'Прайс Лазер'!$I$4:$J$21,2,0)</f>
        <v>1.1499999999999999</v>
      </c>
      <c r="P79" s="86">
        <f>HLOOKUP('Оценка лазера'!$E79,'Прайс Лазер'!$C$26:$T$34,1+VLOOKUP(F79,'Прайс Лазер'!$A$26:$B$34,2,0),0)</f>
        <v>21.849999999999998</v>
      </c>
      <c r="Q79" s="86">
        <f t="shared" si="13"/>
        <v>0</v>
      </c>
      <c r="R79" s="86">
        <f t="shared" si="14"/>
        <v>0</v>
      </c>
      <c r="S79" s="86">
        <f t="shared" si="15"/>
        <v>0</v>
      </c>
      <c r="T79" s="86">
        <f t="shared" si="17"/>
        <v>0</v>
      </c>
      <c r="U79" s="86">
        <f t="shared" si="16"/>
        <v>0</v>
      </c>
      <c r="V79" s="98">
        <f t="shared" si="18"/>
        <v>0</v>
      </c>
    </row>
    <row r="80" spans="1:22" ht="15" x14ac:dyDescent="0.25">
      <c r="A80" s="97">
        <f t="shared" si="19"/>
        <v>78</v>
      </c>
      <c r="B80" s="86"/>
      <c r="C80" s="86"/>
      <c r="D80" s="86"/>
      <c r="E80" s="86">
        <v>1</v>
      </c>
      <c r="F80" s="95" t="s">
        <v>83</v>
      </c>
      <c r="G80" s="86"/>
      <c r="H80" s="86">
        <v>0</v>
      </c>
      <c r="I80" s="86">
        <v>0</v>
      </c>
      <c r="J80" s="86">
        <v>0</v>
      </c>
      <c r="K80" s="86">
        <v>0</v>
      </c>
      <c r="L80" s="86">
        <v>0</v>
      </c>
      <c r="M80" s="86">
        <f>VLOOKUP(F80,'Прайс Лазер'!$L$3:$M$9,2,0)</f>
        <v>93</v>
      </c>
      <c r="N80" s="86">
        <v>25</v>
      </c>
      <c r="O80" s="94">
        <f>VLOOKUP(E80,'Прайс Лазер'!$I$4:$J$21,2,0)</f>
        <v>1.1499999999999999</v>
      </c>
      <c r="P80" s="86">
        <f>HLOOKUP('Оценка лазера'!$E80,'Прайс Лазер'!$C$26:$T$34,1+VLOOKUP(F80,'Прайс Лазер'!$A$26:$B$34,2,0),0)</f>
        <v>21.849999999999998</v>
      </c>
      <c r="Q80" s="86">
        <f t="shared" si="13"/>
        <v>0</v>
      </c>
      <c r="R80" s="86">
        <f t="shared" si="14"/>
        <v>0</v>
      </c>
      <c r="S80" s="86">
        <f t="shared" si="15"/>
        <v>0</v>
      </c>
      <c r="T80" s="86">
        <f t="shared" si="17"/>
        <v>0</v>
      </c>
      <c r="U80" s="86">
        <f t="shared" si="16"/>
        <v>0</v>
      </c>
      <c r="V80" s="98">
        <f t="shared" si="18"/>
        <v>0</v>
      </c>
    </row>
    <row r="81" spans="1:22" ht="15" x14ac:dyDescent="0.25">
      <c r="A81" s="97">
        <f t="shared" si="19"/>
        <v>79</v>
      </c>
      <c r="B81" s="86"/>
      <c r="C81" s="86"/>
      <c r="D81" s="86"/>
      <c r="E81" s="86">
        <v>1</v>
      </c>
      <c r="F81" s="95" t="s">
        <v>83</v>
      </c>
      <c r="G81" s="86"/>
      <c r="H81" s="86">
        <v>0</v>
      </c>
      <c r="I81" s="86">
        <v>0</v>
      </c>
      <c r="J81" s="86">
        <v>0</v>
      </c>
      <c r="K81" s="86">
        <v>0</v>
      </c>
      <c r="L81" s="86">
        <v>0</v>
      </c>
      <c r="M81" s="86">
        <f>VLOOKUP(F81,'Прайс Лазер'!$L$3:$M$9,2,0)</f>
        <v>93</v>
      </c>
      <c r="N81" s="86">
        <v>25</v>
      </c>
      <c r="O81" s="94">
        <f>VLOOKUP(E81,'Прайс Лазер'!$I$4:$J$21,2,0)</f>
        <v>1.1499999999999999</v>
      </c>
      <c r="P81" s="86">
        <f>HLOOKUP('Оценка лазера'!$E81,'Прайс Лазер'!$C$26:$T$34,1+VLOOKUP(F81,'Прайс Лазер'!$A$26:$B$34,2,0),0)</f>
        <v>21.849999999999998</v>
      </c>
      <c r="Q81" s="86">
        <f t="shared" si="13"/>
        <v>0</v>
      </c>
      <c r="R81" s="86">
        <f t="shared" si="14"/>
        <v>0</v>
      </c>
      <c r="S81" s="86">
        <f t="shared" si="15"/>
        <v>0</v>
      </c>
      <c r="T81" s="86">
        <f t="shared" si="17"/>
        <v>0</v>
      </c>
      <c r="U81" s="86">
        <f t="shared" si="16"/>
        <v>0</v>
      </c>
      <c r="V81" s="98">
        <f t="shared" si="18"/>
        <v>0</v>
      </c>
    </row>
    <row r="82" spans="1:22" ht="15" x14ac:dyDescent="0.25">
      <c r="A82" s="97">
        <f t="shared" si="19"/>
        <v>80</v>
      </c>
      <c r="B82" s="86"/>
      <c r="C82" s="86"/>
      <c r="D82" s="86"/>
      <c r="E82" s="86">
        <v>1</v>
      </c>
      <c r="F82" s="95" t="s">
        <v>83</v>
      </c>
      <c r="G82" s="86"/>
      <c r="H82" s="86">
        <v>0</v>
      </c>
      <c r="I82" s="86">
        <v>0</v>
      </c>
      <c r="J82" s="86">
        <v>0</v>
      </c>
      <c r="K82" s="86">
        <v>0</v>
      </c>
      <c r="L82" s="86">
        <v>0</v>
      </c>
      <c r="M82" s="86">
        <f>VLOOKUP(F82,'Прайс Лазер'!$L$3:$M$9,2,0)</f>
        <v>93</v>
      </c>
      <c r="N82" s="86">
        <v>25</v>
      </c>
      <c r="O82" s="94">
        <f>VLOOKUP(E82,'Прайс Лазер'!$I$4:$J$21,2,0)</f>
        <v>1.1499999999999999</v>
      </c>
      <c r="P82" s="86">
        <f>HLOOKUP('Оценка лазера'!$E82,'Прайс Лазер'!$C$26:$T$34,1+VLOOKUP(F82,'Прайс Лазер'!$A$26:$B$34,2,0),0)</f>
        <v>21.849999999999998</v>
      </c>
      <c r="Q82" s="86">
        <f t="shared" si="13"/>
        <v>0</v>
      </c>
      <c r="R82" s="86">
        <f t="shared" si="14"/>
        <v>0</v>
      </c>
      <c r="S82" s="86">
        <f t="shared" si="15"/>
        <v>0</v>
      </c>
      <c r="T82" s="86">
        <f t="shared" si="17"/>
        <v>0</v>
      </c>
      <c r="U82" s="86">
        <f t="shared" si="16"/>
        <v>0</v>
      </c>
      <c r="V82" s="98">
        <f t="shared" si="18"/>
        <v>0</v>
      </c>
    </row>
    <row r="83" spans="1:22" ht="15" x14ac:dyDescent="0.25">
      <c r="A83" s="97">
        <f t="shared" si="19"/>
        <v>81</v>
      </c>
      <c r="B83" s="86"/>
      <c r="C83" s="86"/>
      <c r="D83" s="86"/>
      <c r="E83" s="86">
        <v>1</v>
      </c>
      <c r="F83" s="95" t="s">
        <v>83</v>
      </c>
      <c r="G83" s="86"/>
      <c r="H83" s="86">
        <v>0</v>
      </c>
      <c r="I83" s="86">
        <v>0</v>
      </c>
      <c r="J83" s="86">
        <v>0</v>
      </c>
      <c r="K83" s="86">
        <v>0</v>
      </c>
      <c r="L83" s="86">
        <v>0</v>
      </c>
      <c r="M83" s="86">
        <f>VLOOKUP(F83,'Прайс Лазер'!$L$3:$M$9,2,0)</f>
        <v>93</v>
      </c>
      <c r="N83" s="86">
        <v>25</v>
      </c>
      <c r="O83" s="94">
        <f>VLOOKUP(E83,'Прайс Лазер'!$I$4:$J$21,2,0)</f>
        <v>1.1499999999999999</v>
      </c>
      <c r="P83" s="86">
        <f>HLOOKUP('Оценка лазера'!$E83,'Прайс Лазер'!$C$26:$T$34,1+VLOOKUP(F83,'Прайс Лазер'!$A$26:$B$34,2,0),0)</f>
        <v>21.849999999999998</v>
      </c>
      <c r="Q83" s="86">
        <f t="shared" si="13"/>
        <v>0</v>
      </c>
      <c r="R83" s="86">
        <f t="shared" si="14"/>
        <v>0</v>
      </c>
      <c r="S83" s="86">
        <f t="shared" si="15"/>
        <v>0</v>
      </c>
      <c r="T83" s="86">
        <f t="shared" si="17"/>
        <v>0</v>
      </c>
      <c r="U83" s="86">
        <f t="shared" si="16"/>
        <v>0</v>
      </c>
      <c r="V83" s="98">
        <f t="shared" si="18"/>
        <v>0</v>
      </c>
    </row>
    <row r="84" spans="1:22" ht="15" x14ac:dyDescent="0.25">
      <c r="A84" s="97">
        <f t="shared" si="19"/>
        <v>82</v>
      </c>
      <c r="B84" s="86"/>
      <c r="C84" s="86"/>
      <c r="D84" s="86"/>
      <c r="E84" s="86">
        <v>1</v>
      </c>
      <c r="F84" s="95" t="s">
        <v>83</v>
      </c>
      <c r="G84" s="86"/>
      <c r="H84" s="86">
        <v>0</v>
      </c>
      <c r="I84" s="86">
        <v>0</v>
      </c>
      <c r="J84" s="86">
        <v>0</v>
      </c>
      <c r="K84" s="86">
        <v>0</v>
      </c>
      <c r="L84" s="86">
        <v>0</v>
      </c>
      <c r="M84" s="86">
        <f>VLOOKUP(F84,'Прайс Лазер'!$L$3:$M$9,2,0)</f>
        <v>93</v>
      </c>
      <c r="N84" s="86">
        <v>25</v>
      </c>
      <c r="O84" s="94">
        <f>VLOOKUP(E84,'Прайс Лазер'!$I$4:$J$21,2,0)</f>
        <v>1.1499999999999999</v>
      </c>
      <c r="P84" s="86">
        <f>HLOOKUP('Оценка лазера'!$E84,'Прайс Лазер'!$C$26:$T$34,1+VLOOKUP(F84,'Прайс Лазер'!$A$26:$B$34,2,0),0)</f>
        <v>21.849999999999998</v>
      </c>
      <c r="Q84" s="86">
        <f t="shared" si="13"/>
        <v>0</v>
      </c>
      <c r="R84" s="86">
        <f t="shared" si="14"/>
        <v>0</v>
      </c>
      <c r="S84" s="86">
        <f t="shared" si="15"/>
        <v>0</v>
      </c>
      <c r="T84" s="86">
        <f t="shared" si="17"/>
        <v>0</v>
      </c>
      <c r="U84" s="86">
        <f t="shared" si="16"/>
        <v>0</v>
      </c>
      <c r="V84" s="98">
        <f t="shared" si="18"/>
        <v>0</v>
      </c>
    </row>
    <row r="85" spans="1:22" ht="15" x14ac:dyDescent="0.25">
      <c r="A85" s="97">
        <f t="shared" si="19"/>
        <v>83</v>
      </c>
      <c r="B85" s="86"/>
      <c r="C85" s="86"/>
      <c r="D85" s="86"/>
      <c r="E85" s="86">
        <v>1</v>
      </c>
      <c r="F85" s="95" t="s">
        <v>83</v>
      </c>
      <c r="G85" s="86"/>
      <c r="H85" s="86">
        <v>0</v>
      </c>
      <c r="I85" s="86">
        <v>0</v>
      </c>
      <c r="J85" s="86">
        <v>0</v>
      </c>
      <c r="K85" s="86">
        <v>0</v>
      </c>
      <c r="L85" s="86">
        <v>0</v>
      </c>
      <c r="M85" s="86">
        <f>VLOOKUP(F85,'Прайс Лазер'!$L$3:$M$9,2,0)</f>
        <v>93</v>
      </c>
      <c r="N85" s="86">
        <v>25</v>
      </c>
      <c r="O85" s="94">
        <f>VLOOKUP(E85,'Прайс Лазер'!$I$4:$J$21,2,0)</f>
        <v>1.1499999999999999</v>
      </c>
      <c r="P85" s="86">
        <f>HLOOKUP('Оценка лазера'!$E85,'Прайс Лазер'!$C$26:$T$34,1+VLOOKUP(F85,'Прайс Лазер'!$A$26:$B$34,2,0),0)</f>
        <v>21.849999999999998</v>
      </c>
      <c r="Q85" s="86">
        <f t="shared" si="13"/>
        <v>0</v>
      </c>
      <c r="R85" s="86">
        <f t="shared" si="14"/>
        <v>0</v>
      </c>
      <c r="S85" s="86">
        <f t="shared" si="15"/>
        <v>0</v>
      </c>
      <c r="T85" s="86">
        <f t="shared" si="17"/>
        <v>0</v>
      </c>
      <c r="U85" s="86">
        <f t="shared" si="16"/>
        <v>0</v>
      </c>
      <c r="V85" s="98">
        <f t="shared" si="18"/>
        <v>0</v>
      </c>
    </row>
    <row r="86" spans="1:22" ht="15" x14ac:dyDescent="0.25">
      <c r="A86" s="97">
        <f t="shared" si="19"/>
        <v>84</v>
      </c>
      <c r="B86" s="86"/>
      <c r="C86" s="86"/>
      <c r="D86" s="86"/>
      <c r="E86" s="86">
        <v>1</v>
      </c>
      <c r="F86" s="95" t="s">
        <v>83</v>
      </c>
      <c r="G86" s="86"/>
      <c r="H86" s="86">
        <v>0</v>
      </c>
      <c r="I86" s="86">
        <v>0</v>
      </c>
      <c r="J86" s="86">
        <v>0</v>
      </c>
      <c r="K86" s="86">
        <v>0</v>
      </c>
      <c r="L86" s="86">
        <v>0</v>
      </c>
      <c r="M86" s="86">
        <f>VLOOKUP(F86,'Прайс Лазер'!$L$3:$M$9,2,0)</f>
        <v>93</v>
      </c>
      <c r="N86" s="86">
        <v>25</v>
      </c>
      <c r="O86" s="94">
        <f>VLOOKUP(E86,'Прайс Лазер'!$I$4:$J$21,2,0)</f>
        <v>1.1499999999999999</v>
      </c>
      <c r="P86" s="86">
        <f>HLOOKUP('Оценка лазера'!$E86,'Прайс Лазер'!$C$26:$T$34,1+VLOOKUP(F86,'Прайс Лазер'!$A$26:$B$34,2,0),0)</f>
        <v>21.849999999999998</v>
      </c>
      <c r="Q86" s="86">
        <f t="shared" si="13"/>
        <v>0</v>
      </c>
      <c r="R86" s="86">
        <f t="shared" si="14"/>
        <v>0</v>
      </c>
      <c r="S86" s="86">
        <f t="shared" si="15"/>
        <v>0</v>
      </c>
      <c r="T86" s="86">
        <f t="shared" si="17"/>
        <v>0</v>
      </c>
      <c r="U86" s="86">
        <f t="shared" si="16"/>
        <v>0</v>
      </c>
      <c r="V86" s="98">
        <f t="shared" si="18"/>
        <v>0</v>
      </c>
    </row>
    <row r="87" spans="1:22" ht="15" x14ac:dyDescent="0.25">
      <c r="A87" s="97">
        <f t="shared" si="19"/>
        <v>85</v>
      </c>
      <c r="B87" s="86"/>
      <c r="C87" s="86"/>
      <c r="D87" s="86"/>
      <c r="E87" s="86">
        <v>1</v>
      </c>
      <c r="F87" s="95" t="s">
        <v>83</v>
      </c>
      <c r="G87" s="86"/>
      <c r="H87" s="86">
        <v>0</v>
      </c>
      <c r="I87" s="86">
        <v>0</v>
      </c>
      <c r="J87" s="86">
        <v>0</v>
      </c>
      <c r="K87" s="86">
        <v>0</v>
      </c>
      <c r="L87" s="86">
        <v>0</v>
      </c>
      <c r="M87" s="86">
        <f>VLOOKUP(F87,'Прайс Лазер'!$L$3:$M$9,2,0)</f>
        <v>93</v>
      </c>
      <c r="N87" s="86">
        <v>25</v>
      </c>
      <c r="O87" s="94">
        <f>VLOOKUP(E87,'Прайс Лазер'!$I$4:$J$21,2,0)</f>
        <v>1.1499999999999999</v>
      </c>
      <c r="P87" s="86">
        <f>HLOOKUP('Оценка лазера'!$E87,'Прайс Лазер'!$C$26:$T$34,1+VLOOKUP(F87,'Прайс Лазер'!$A$26:$B$34,2,0),0)</f>
        <v>21.849999999999998</v>
      </c>
      <c r="Q87" s="86">
        <f t="shared" si="13"/>
        <v>0</v>
      </c>
      <c r="R87" s="86">
        <f t="shared" si="14"/>
        <v>0</v>
      </c>
      <c r="S87" s="86">
        <f t="shared" si="15"/>
        <v>0</v>
      </c>
      <c r="T87" s="86">
        <f t="shared" si="17"/>
        <v>0</v>
      </c>
      <c r="U87" s="86">
        <f t="shared" si="16"/>
        <v>0</v>
      </c>
      <c r="V87" s="98">
        <f t="shared" si="18"/>
        <v>0</v>
      </c>
    </row>
    <row r="88" spans="1:22" ht="15" x14ac:dyDescent="0.25">
      <c r="A88" s="97">
        <f t="shared" si="19"/>
        <v>86</v>
      </c>
      <c r="B88" s="86"/>
      <c r="C88" s="86"/>
      <c r="D88" s="86"/>
      <c r="E88" s="86">
        <v>1</v>
      </c>
      <c r="F88" s="95" t="s">
        <v>83</v>
      </c>
      <c r="G88" s="86"/>
      <c r="H88" s="86">
        <v>0</v>
      </c>
      <c r="I88" s="86">
        <v>0</v>
      </c>
      <c r="J88" s="86">
        <v>0</v>
      </c>
      <c r="K88" s="86">
        <v>0</v>
      </c>
      <c r="L88" s="86">
        <v>0</v>
      </c>
      <c r="M88" s="86">
        <f>VLOOKUP(F88,'Прайс Лазер'!$L$3:$M$9,2,0)</f>
        <v>93</v>
      </c>
      <c r="N88" s="86">
        <v>25</v>
      </c>
      <c r="O88" s="94">
        <f>VLOOKUP(E88,'Прайс Лазер'!$I$4:$J$21,2,0)</f>
        <v>1.1499999999999999</v>
      </c>
      <c r="P88" s="86">
        <f>HLOOKUP('Оценка лазера'!$E88,'Прайс Лазер'!$C$26:$T$34,1+VLOOKUP(F88,'Прайс Лазер'!$A$26:$B$34,2,0),0)</f>
        <v>21.849999999999998</v>
      </c>
      <c r="Q88" s="86">
        <f t="shared" si="13"/>
        <v>0</v>
      </c>
      <c r="R88" s="86">
        <f t="shared" si="14"/>
        <v>0</v>
      </c>
      <c r="S88" s="86">
        <f t="shared" si="15"/>
        <v>0</v>
      </c>
      <c r="T88" s="86">
        <f t="shared" si="17"/>
        <v>0</v>
      </c>
      <c r="U88" s="86">
        <f t="shared" si="16"/>
        <v>0</v>
      </c>
      <c r="V88" s="98">
        <f t="shared" si="18"/>
        <v>0</v>
      </c>
    </row>
    <row r="89" spans="1:22" ht="15" x14ac:dyDescent="0.25">
      <c r="A89" s="97">
        <f t="shared" si="19"/>
        <v>87</v>
      </c>
      <c r="B89" s="86"/>
      <c r="C89" s="86"/>
      <c r="D89" s="86"/>
      <c r="E89" s="86">
        <v>1</v>
      </c>
      <c r="F89" s="95" t="s">
        <v>83</v>
      </c>
      <c r="G89" s="86"/>
      <c r="H89" s="86">
        <v>0</v>
      </c>
      <c r="I89" s="86">
        <v>0</v>
      </c>
      <c r="J89" s="86">
        <v>0</v>
      </c>
      <c r="K89" s="86">
        <v>0</v>
      </c>
      <c r="L89" s="86">
        <v>0</v>
      </c>
      <c r="M89" s="86">
        <f>VLOOKUP(F89,'Прайс Лазер'!$L$3:$M$9,2,0)</f>
        <v>93</v>
      </c>
      <c r="N89" s="86">
        <v>25</v>
      </c>
      <c r="O89" s="94">
        <f>VLOOKUP(E89,'Прайс Лазер'!$I$4:$J$21,2,0)</f>
        <v>1.1499999999999999</v>
      </c>
      <c r="P89" s="86">
        <f>HLOOKUP('Оценка лазера'!$E89,'Прайс Лазер'!$C$26:$T$34,1+VLOOKUP(F89,'Прайс Лазер'!$A$26:$B$34,2,0),0)</f>
        <v>21.849999999999998</v>
      </c>
      <c r="Q89" s="86">
        <f t="shared" si="13"/>
        <v>0</v>
      </c>
      <c r="R89" s="86">
        <f t="shared" si="14"/>
        <v>0</v>
      </c>
      <c r="S89" s="86">
        <f t="shared" si="15"/>
        <v>0</v>
      </c>
      <c r="T89" s="86">
        <f t="shared" si="17"/>
        <v>0</v>
      </c>
      <c r="U89" s="86">
        <f t="shared" si="16"/>
        <v>0</v>
      </c>
      <c r="V89" s="98">
        <f t="shared" si="18"/>
        <v>0</v>
      </c>
    </row>
    <row r="90" spans="1:22" ht="15" x14ac:dyDescent="0.25">
      <c r="A90" s="97">
        <f t="shared" si="19"/>
        <v>88</v>
      </c>
      <c r="B90" s="86"/>
      <c r="C90" s="86"/>
      <c r="D90" s="86"/>
      <c r="E90" s="86">
        <v>1</v>
      </c>
      <c r="F90" s="95" t="s">
        <v>83</v>
      </c>
      <c r="G90" s="86"/>
      <c r="H90" s="86">
        <v>0</v>
      </c>
      <c r="I90" s="86">
        <v>0</v>
      </c>
      <c r="J90" s="86">
        <v>0</v>
      </c>
      <c r="K90" s="86">
        <v>0</v>
      </c>
      <c r="L90" s="86">
        <v>0</v>
      </c>
      <c r="M90" s="86">
        <f>VLOOKUP(F90,'Прайс Лазер'!$L$3:$M$9,2,0)</f>
        <v>93</v>
      </c>
      <c r="N90" s="86">
        <v>25</v>
      </c>
      <c r="O90" s="94">
        <f>VLOOKUP(E90,'Прайс Лазер'!$I$4:$J$21,2,0)</f>
        <v>1.1499999999999999</v>
      </c>
      <c r="P90" s="86">
        <f>HLOOKUP('Оценка лазера'!$E90,'Прайс Лазер'!$C$26:$T$34,1+VLOOKUP(F90,'Прайс Лазер'!$A$26:$B$34,2,0),0)</f>
        <v>21.849999999999998</v>
      </c>
      <c r="Q90" s="86">
        <f t="shared" si="13"/>
        <v>0</v>
      </c>
      <c r="R90" s="86">
        <f t="shared" si="14"/>
        <v>0</v>
      </c>
      <c r="S90" s="86">
        <f t="shared" si="15"/>
        <v>0</v>
      </c>
      <c r="T90" s="86">
        <f t="shared" si="17"/>
        <v>0</v>
      </c>
      <c r="U90" s="86">
        <f t="shared" si="16"/>
        <v>0</v>
      </c>
      <c r="V90" s="98">
        <f t="shared" si="18"/>
        <v>0</v>
      </c>
    </row>
    <row r="91" spans="1:22" ht="15" x14ac:dyDescent="0.25">
      <c r="A91" s="97">
        <f t="shared" si="19"/>
        <v>89</v>
      </c>
      <c r="B91" s="86"/>
      <c r="C91" s="86"/>
      <c r="D91" s="86"/>
      <c r="E91" s="86">
        <v>1</v>
      </c>
      <c r="F91" s="95" t="s">
        <v>83</v>
      </c>
      <c r="G91" s="86"/>
      <c r="H91" s="86">
        <v>0</v>
      </c>
      <c r="I91" s="86">
        <v>0</v>
      </c>
      <c r="J91" s="86">
        <v>0</v>
      </c>
      <c r="K91" s="86">
        <v>0</v>
      </c>
      <c r="L91" s="86">
        <v>0</v>
      </c>
      <c r="M91" s="86">
        <f>VLOOKUP(F91,'Прайс Лазер'!$L$3:$M$9,2,0)</f>
        <v>93</v>
      </c>
      <c r="N91" s="86">
        <v>25</v>
      </c>
      <c r="O91" s="94">
        <f>VLOOKUP(E91,'Прайс Лазер'!$I$4:$J$21,2,0)</f>
        <v>1.1499999999999999</v>
      </c>
      <c r="P91" s="86">
        <f>HLOOKUP('Оценка лазера'!$E91,'Прайс Лазер'!$C$26:$T$34,1+VLOOKUP(F91,'Прайс Лазер'!$A$26:$B$34,2,0),0)</f>
        <v>21.849999999999998</v>
      </c>
      <c r="Q91" s="86">
        <f t="shared" si="13"/>
        <v>0</v>
      </c>
      <c r="R91" s="86">
        <f t="shared" si="14"/>
        <v>0</v>
      </c>
      <c r="S91" s="86">
        <f t="shared" si="15"/>
        <v>0</v>
      </c>
      <c r="T91" s="86">
        <f t="shared" si="17"/>
        <v>0</v>
      </c>
      <c r="U91" s="86">
        <f t="shared" si="16"/>
        <v>0</v>
      </c>
      <c r="V91" s="98">
        <f t="shared" si="18"/>
        <v>0</v>
      </c>
    </row>
    <row r="92" spans="1:22" ht="15" x14ac:dyDescent="0.25">
      <c r="A92" s="97">
        <f t="shared" si="19"/>
        <v>90</v>
      </c>
      <c r="B92" s="86"/>
      <c r="C92" s="86"/>
      <c r="D92" s="86"/>
      <c r="E92" s="86">
        <v>1</v>
      </c>
      <c r="F92" s="95" t="s">
        <v>83</v>
      </c>
      <c r="G92" s="86"/>
      <c r="H92" s="86">
        <v>0</v>
      </c>
      <c r="I92" s="86">
        <v>0</v>
      </c>
      <c r="J92" s="86">
        <v>0</v>
      </c>
      <c r="K92" s="86">
        <v>0</v>
      </c>
      <c r="L92" s="86">
        <v>0</v>
      </c>
      <c r="M92" s="86">
        <f>VLOOKUP(F92,'Прайс Лазер'!$L$3:$M$9,2,0)</f>
        <v>93</v>
      </c>
      <c r="N92" s="86">
        <v>25</v>
      </c>
      <c r="O92" s="94">
        <f>VLOOKUP(E92,'Прайс Лазер'!$I$4:$J$21,2,0)</f>
        <v>1.1499999999999999</v>
      </c>
      <c r="P92" s="86">
        <f>HLOOKUP('Оценка лазера'!$E92,'Прайс Лазер'!$C$26:$T$34,1+VLOOKUP(F92,'Прайс Лазер'!$A$26:$B$34,2,0),0)</f>
        <v>21.849999999999998</v>
      </c>
      <c r="Q92" s="86">
        <f t="shared" si="13"/>
        <v>0</v>
      </c>
      <c r="R92" s="86">
        <f t="shared" si="14"/>
        <v>0</v>
      </c>
      <c r="S92" s="86">
        <f t="shared" si="15"/>
        <v>0</v>
      </c>
      <c r="T92" s="86">
        <f t="shared" si="17"/>
        <v>0</v>
      </c>
      <c r="U92" s="86">
        <f t="shared" si="16"/>
        <v>0</v>
      </c>
      <c r="V92" s="98">
        <f t="shared" si="18"/>
        <v>0</v>
      </c>
    </row>
    <row r="93" spans="1:22" ht="15" x14ac:dyDescent="0.25">
      <c r="A93" s="97">
        <f t="shared" si="19"/>
        <v>91</v>
      </c>
      <c r="B93" s="86"/>
      <c r="C93" s="86"/>
      <c r="D93" s="86"/>
      <c r="E93" s="86">
        <v>1</v>
      </c>
      <c r="F93" s="95" t="s">
        <v>83</v>
      </c>
      <c r="G93" s="86"/>
      <c r="H93" s="86">
        <v>0</v>
      </c>
      <c r="I93" s="86">
        <v>0</v>
      </c>
      <c r="J93" s="86">
        <v>0</v>
      </c>
      <c r="K93" s="86">
        <v>0</v>
      </c>
      <c r="L93" s="86">
        <v>0</v>
      </c>
      <c r="M93" s="86">
        <f>VLOOKUP(F93,'Прайс Лазер'!$L$3:$M$9,2,0)</f>
        <v>93</v>
      </c>
      <c r="N93" s="86">
        <v>25</v>
      </c>
      <c r="O93" s="94">
        <f>VLOOKUP(E93,'Прайс Лазер'!$I$4:$J$21,2,0)</f>
        <v>1.1499999999999999</v>
      </c>
      <c r="P93" s="86">
        <f>HLOOKUP('Оценка лазера'!$E93,'Прайс Лазер'!$C$26:$T$34,1+VLOOKUP(F93,'Прайс Лазер'!$A$26:$B$34,2,0),0)</f>
        <v>21.849999999999998</v>
      </c>
      <c r="Q93" s="86">
        <f t="shared" si="13"/>
        <v>0</v>
      </c>
      <c r="R93" s="86">
        <f t="shared" si="14"/>
        <v>0</v>
      </c>
      <c r="S93" s="86">
        <f t="shared" si="15"/>
        <v>0</v>
      </c>
      <c r="T93" s="86">
        <f t="shared" si="17"/>
        <v>0</v>
      </c>
      <c r="U93" s="86">
        <f t="shared" si="16"/>
        <v>0</v>
      </c>
      <c r="V93" s="98">
        <f t="shared" si="18"/>
        <v>0</v>
      </c>
    </row>
    <row r="94" spans="1:22" ht="15" x14ac:dyDescent="0.25">
      <c r="A94" s="97">
        <f t="shared" si="19"/>
        <v>92</v>
      </c>
      <c r="B94" s="86"/>
      <c r="C94" s="86"/>
      <c r="D94" s="86"/>
      <c r="E94" s="86">
        <v>1</v>
      </c>
      <c r="F94" s="95" t="s">
        <v>83</v>
      </c>
      <c r="G94" s="86"/>
      <c r="H94" s="86">
        <v>0</v>
      </c>
      <c r="I94" s="86">
        <v>0</v>
      </c>
      <c r="J94" s="86">
        <v>0</v>
      </c>
      <c r="K94" s="86">
        <v>0</v>
      </c>
      <c r="L94" s="86">
        <v>0</v>
      </c>
      <c r="M94" s="86">
        <f>VLOOKUP(F94,'Прайс Лазер'!$L$3:$M$9,2,0)</f>
        <v>93</v>
      </c>
      <c r="N94" s="86">
        <v>25</v>
      </c>
      <c r="O94" s="94">
        <f>VLOOKUP(E94,'Прайс Лазер'!$I$4:$J$21,2,0)</f>
        <v>1.1499999999999999</v>
      </c>
      <c r="P94" s="86">
        <f>HLOOKUP('Оценка лазера'!$E94,'Прайс Лазер'!$C$26:$T$34,1+VLOOKUP(F94,'Прайс Лазер'!$A$26:$B$34,2,0),0)</f>
        <v>21.849999999999998</v>
      </c>
      <c r="Q94" s="86">
        <f t="shared" si="13"/>
        <v>0</v>
      </c>
      <c r="R94" s="86">
        <f t="shared" si="14"/>
        <v>0</v>
      </c>
      <c r="S94" s="86">
        <f t="shared" si="15"/>
        <v>0</v>
      </c>
      <c r="T94" s="86">
        <f t="shared" si="17"/>
        <v>0</v>
      </c>
      <c r="U94" s="86">
        <f t="shared" si="16"/>
        <v>0</v>
      </c>
      <c r="V94" s="98">
        <f t="shared" si="18"/>
        <v>0</v>
      </c>
    </row>
    <row r="95" spans="1:22" ht="15" x14ac:dyDescent="0.25">
      <c r="A95" s="97">
        <f t="shared" si="19"/>
        <v>93</v>
      </c>
      <c r="B95" s="86"/>
      <c r="C95" s="86"/>
      <c r="D95" s="86"/>
      <c r="E95" s="86">
        <v>1</v>
      </c>
      <c r="F95" s="95" t="s">
        <v>83</v>
      </c>
      <c r="G95" s="86"/>
      <c r="H95" s="86">
        <v>0</v>
      </c>
      <c r="I95" s="86">
        <v>0</v>
      </c>
      <c r="J95" s="86">
        <v>0</v>
      </c>
      <c r="K95" s="86">
        <v>0</v>
      </c>
      <c r="L95" s="86">
        <v>0</v>
      </c>
      <c r="M95" s="86">
        <f>VLOOKUP(F95,'Прайс Лазер'!$L$3:$M$9,2,0)</f>
        <v>93</v>
      </c>
      <c r="N95" s="86">
        <v>25</v>
      </c>
      <c r="O95" s="94">
        <f>VLOOKUP(E95,'Прайс Лазер'!$I$4:$J$21,2,0)</f>
        <v>1.1499999999999999</v>
      </c>
      <c r="P95" s="86">
        <f>HLOOKUP('Оценка лазера'!$E95,'Прайс Лазер'!$C$26:$T$34,1+VLOOKUP(F95,'Прайс Лазер'!$A$26:$B$34,2,0),0)</f>
        <v>21.849999999999998</v>
      </c>
      <c r="Q95" s="86">
        <f t="shared" si="13"/>
        <v>0</v>
      </c>
      <c r="R95" s="86">
        <f t="shared" si="14"/>
        <v>0</v>
      </c>
      <c r="S95" s="86">
        <f t="shared" si="15"/>
        <v>0</v>
      </c>
      <c r="T95" s="86">
        <f t="shared" si="17"/>
        <v>0</v>
      </c>
      <c r="U95" s="86">
        <f t="shared" si="16"/>
        <v>0</v>
      </c>
      <c r="V95" s="98">
        <f t="shared" si="18"/>
        <v>0</v>
      </c>
    </row>
    <row r="96" spans="1:22" ht="15" x14ac:dyDescent="0.25">
      <c r="A96" s="97">
        <f t="shared" si="19"/>
        <v>94</v>
      </c>
      <c r="B96" s="86"/>
      <c r="C96" s="86"/>
      <c r="D96" s="86"/>
      <c r="E96" s="86">
        <v>1</v>
      </c>
      <c r="F96" s="95" t="s">
        <v>83</v>
      </c>
      <c r="G96" s="86"/>
      <c r="H96" s="86">
        <v>0</v>
      </c>
      <c r="I96" s="86">
        <v>0</v>
      </c>
      <c r="J96" s="86">
        <v>0</v>
      </c>
      <c r="K96" s="86">
        <v>0</v>
      </c>
      <c r="L96" s="86">
        <v>0</v>
      </c>
      <c r="M96" s="86">
        <f>VLOOKUP(F96,'Прайс Лазер'!$L$3:$M$9,2,0)</f>
        <v>93</v>
      </c>
      <c r="N96" s="86">
        <v>25</v>
      </c>
      <c r="O96" s="94">
        <f>VLOOKUP(E96,'Прайс Лазер'!$I$4:$J$21,2,0)</f>
        <v>1.1499999999999999</v>
      </c>
      <c r="P96" s="86">
        <f>HLOOKUP('Оценка лазера'!$E96,'Прайс Лазер'!$C$26:$T$34,1+VLOOKUP(F96,'Прайс Лазер'!$A$26:$B$34,2,0),0)</f>
        <v>21.849999999999998</v>
      </c>
      <c r="Q96" s="86">
        <f t="shared" si="13"/>
        <v>0</v>
      </c>
      <c r="R96" s="86">
        <f t="shared" si="14"/>
        <v>0</v>
      </c>
      <c r="S96" s="86">
        <f t="shared" si="15"/>
        <v>0</v>
      </c>
      <c r="T96" s="86">
        <f t="shared" si="17"/>
        <v>0</v>
      </c>
      <c r="U96" s="86">
        <f t="shared" si="16"/>
        <v>0</v>
      </c>
      <c r="V96" s="98">
        <f t="shared" si="18"/>
        <v>0</v>
      </c>
    </row>
    <row r="97" spans="1:22" ht="15" x14ac:dyDescent="0.25">
      <c r="A97" s="97">
        <f t="shared" si="19"/>
        <v>95</v>
      </c>
      <c r="B97" s="86"/>
      <c r="C97" s="86"/>
      <c r="D97" s="86"/>
      <c r="E97" s="86">
        <v>1</v>
      </c>
      <c r="F97" s="95" t="s">
        <v>83</v>
      </c>
      <c r="G97" s="86"/>
      <c r="H97" s="86">
        <v>0</v>
      </c>
      <c r="I97" s="86">
        <v>0</v>
      </c>
      <c r="J97" s="86">
        <v>0</v>
      </c>
      <c r="K97" s="86">
        <v>0</v>
      </c>
      <c r="L97" s="86">
        <v>0</v>
      </c>
      <c r="M97" s="86">
        <f>VLOOKUP(F97,'Прайс Лазер'!$L$3:$M$9,2,0)</f>
        <v>93</v>
      </c>
      <c r="N97" s="86">
        <v>25</v>
      </c>
      <c r="O97" s="94">
        <f>VLOOKUP(E97,'Прайс Лазер'!$I$4:$J$21,2,0)</f>
        <v>1.1499999999999999</v>
      </c>
      <c r="P97" s="86">
        <f>HLOOKUP('Оценка лазера'!$E97,'Прайс Лазер'!$C$26:$T$34,1+VLOOKUP(F97,'Прайс Лазер'!$A$26:$B$34,2,0),0)</f>
        <v>21.849999999999998</v>
      </c>
      <c r="Q97" s="86">
        <f t="shared" si="13"/>
        <v>0</v>
      </c>
      <c r="R97" s="86">
        <f t="shared" si="14"/>
        <v>0</v>
      </c>
      <c r="S97" s="86">
        <f t="shared" si="15"/>
        <v>0</v>
      </c>
      <c r="T97" s="86">
        <f t="shared" si="17"/>
        <v>0</v>
      </c>
      <c r="U97" s="86">
        <f t="shared" si="16"/>
        <v>0</v>
      </c>
      <c r="V97" s="98">
        <f t="shared" si="18"/>
        <v>0</v>
      </c>
    </row>
    <row r="98" spans="1:22" ht="15" x14ac:dyDescent="0.25">
      <c r="A98" s="97">
        <f t="shared" si="19"/>
        <v>96</v>
      </c>
      <c r="B98" s="86"/>
      <c r="C98" s="86"/>
      <c r="D98" s="86"/>
      <c r="E98" s="86">
        <v>1</v>
      </c>
      <c r="F98" s="95" t="s">
        <v>83</v>
      </c>
      <c r="G98" s="86"/>
      <c r="H98" s="86">
        <v>0</v>
      </c>
      <c r="I98" s="86">
        <v>0</v>
      </c>
      <c r="J98" s="86">
        <v>0</v>
      </c>
      <c r="K98" s="86">
        <v>0</v>
      </c>
      <c r="L98" s="86">
        <v>0</v>
      </c>
      <c r="M98" s="86">
        <f>VLOOKUP(F98,'Прайс Лазер'!$L$3:$M$9,2,0)</f>
        <v>93</v>
      </c>
      <c r="N98" s="86">
        <v>25</v>
      </c>
      <c r="O98" s="94">
        <f>VLOOKUP(E98,'Прайс Лазер'!$I$4:$J$21,2,0)</f>
        <v>1.1499999999999999</v>
      </c>
      <c r="P98" s="86">
        <f>HLOOKUP('Оценка лазера'!$E98,'Прайс Лазер'!$C$26:$T$34,1+VLOOKUP(F98,'Прайс Лазер'!$A$26:$B$34,2,0),0)</f>
        <v>21.849999999999998</v>
      </c>
      <c r="Q98" s="86">
        <f t="shared" si="13"/>
        <v>0</v>
      </c>
      <c r="R98" s="86">
        <f t="shared" si="14"/>
        <v>0</v>
      </c>
      <c r="S98" s="86">
        <f t="shared" si="15"/>
        <v>0</v>
      </c>
      <c r="T98" s="86">
        <f t="shared" si="17"/>
        <v>0</v>
      </c>
      <c r="U98" s="86">
        <f t="shared" si="16"/>
        <v>0</v>
      </c>
      <c r="V98" s="98">
        <f t="shared" si="18"/>
        <v>0</v>
      </c>
    </row>
    <row r="99" spans="1:22" ht="15" x14ac:dyDescent="0.25">
      <c r="A99" s="97">
        <f t="shared" si="19"/>
        <v>97</v>
      </c>
      <c r="B99" s="86"/>
      <c r="C99" s="86"/>
      <c r="D99" s="86"/>
      <c r="E99" s="86">
        <v>1</v>
      </c>
      <c r="F99" s="95" t="s">
        <v>83</v>
      </c>
      <c r="G99" s="86"/>
      <c r="H99" s="86">
        <v>0</v>
      </c>
      <c r="I99" s="86">
        <v>0</v>
      </c>
      <c r="J99" s="86">
        <v>0</v>
      </c>
      <c r="K99" s="86">
        <v>0</v>
      </c>
      <c r="L99" s="86">
        <v>0</v>
      </c>
      <c r="M99" s="86">
        <f>VLOOKUP(F99,'Прайс Лазер'!$L$3:$M$9,2,0)</f>
        <v>93</v>
      </c>
      <c r="N99" s="86">
        <v>25</v>
      </c>
      <c r="O99" s="94">
        <f>VLOOKUP(E99,'Прайс Лазер'!$I$4:$J$21,2,0)</f>
        <v>1.1499999999999999</v>
      </c>
      <c r="P99" s="86">
        <f>HLOOKUP('Оценка лазера'!$E99,'Прайс Лазер'!$C$26:$T$34,1+VLOOKUP(F99,'Прайс Лазер'!$A$26:$B$34,2,0),0)</f>
        <v>21.849999999999998</v>
      </c>
      <c r="Q99" s="86">
        <f t="shared" si="13"/>
        <v>0</v>
      </c>
      <c r="R99" s="86">
        <f t="shared" si="14"/>
        <v>0</v>
      </c>
      <c r="S99" s="86">
        <f t="shared" si="15"/>
        <v>0</v>
      </c>
      <c r="T99" s="86">
        <f t="shared" si="17"/>
        <v>0</v>
      </c>
      <c r="U99" s="86">
        <f t="shared" si="16"/>
        <v>0</v>
      </c>
      <c r="V99" s="98">
        <f t="shared" si="18"/>
        <v>0</v>
      </c>
    </row>
    <row r="100" spans="1:22" ht="15" x14ac:dyDescent="0.25">
      <c r="A100" s="97">
        <f t="shared" si="19"/>
        <v>98</v>
      </c>
      <c r="B100" s="86"/>
      <c r="C100" s="86"/>
      <c r="D100" s="86"/>
      <c r="E100" s="86">
        <v>1</v>
      </c>
      <c r="F100" s="95" t="s">
        <v>83</v>
      </c>
      <c r="G100" s="86"/>
      <c r="H100" s="86">
        <v>0</v>
      </c>
      <c r="I100" s="86">
        <v>0</v>
      </c>
      <c r="J100" s="86">
        <v>0</v>
      </c>
      <c r="K100" s="86">
        <v>0</v>
      </c>
      <c r="L100" s="86">
        <v>0</v>
      </c>
      <c r="M100" s="86">
        <f>VLOOKUP(F100,'Прайс Лазер'!$L$3:$M$9,2,0)</f>
        <v>93</v>
      </c>
      <c r="N100" s="86">
        <v>25</v>
      </c>
      <c r="O100" s="94">
        <f>VLOOKUP(E100,'Прайс Лазер'!$I$4:$J$21,2,0)</f>
        <v>1.1499999999999999</v>
      </c>
      <c r="P100" s="86">
        <f>HLOOKUP('Оценка лазера'!$E100,'Прайс Лазер'!$C$26:$T$34,1+VLOOKUP(F100,'Прайс Лазер'!$A$26:$B$34,2,0),0)</f>
        <v>21.849999999999998</v>
      </c>
      <c r="Q100" s="86">
        <f t="shared" si="13"/>
        <v>0</v>
      </c>
      <c r="R100" s="86">
        <f t="shared" si="14"/>
        <v>0</v>
      </c>
      <c r="S100" s="86">
        <f t="shared" si="15"/>
        <v>0</v>
      </c>
      <c r="T100" s="86">
        <f t="shared" si="17"/>
        <v>0</v>
      </c>
      <c r="U100" s="86">
        <f t="shared" si="16"/>
        <v>0</v>
      </c>
      <c r="V100" s="98">
        <f t="shared" si="18"/>
        <v>0</v>
      </c>
    </row>
    <row r="101" spans="1:22" ht="15" x14ac:dyDescent="0.25">
      <c r="A101" s="97">
        <f t="shared" si="19"/>
        <v>99</v>
      </c>
      <c r="B101" s="86"/>
      <c r="C101" s="86"/>
      <c r="D101" s="86"/>
      <c r="E101" s="86">
        <v>1</v>
      </c>
      <c r="F101" s="95" t="s">
        <v>83</v>
      </c>
      <c r="G101" s="86"/>
      <c r="H101" s="86">
        <v>0</v>
      </c>
      <c r="I101" s="86">
        <v>0</v>
      </c>
      <c r="J101" s="86">
        <v>0</v>
      </c>
      <c r="K101" s="86">
        <v>0</v>
      </c>
      <c r="L101" s="86">
        <v>0</v>
      </c>
      <c r="M101" s="86">
        <f>VLOOKUP(F101,'Прайс Лазер'!$L$3:$M$9,2,0)</f>
        <v>93</v>
      </c>
      <c r="N101" s="86">
        <v>25</v>
      </c>
      <c r="O101" s="94">
        <f>VLOOKUP(E101,'Прайс Лазер'!$I$4:$J$21,2,0)</f>
        <v>1.1499999999999999</v>
      </c>
      <c r="P101" s="86">
        <f>HLOOKUP('Оценка лазера'!$E101,'Прайс Лазер'!$C$26:$T$34,1+VLOOKUP(F101,'Прайс Лазер'!$A$26:$B$34,2,0),0)</f>
        <v>21.849999999999998</v>
      </c>
      <c r="Q101" s="86">
        <f t="shared" si="13"/>
        <v>0</v>
      </c>
      <c r="R101" s="86">
        <f t="shared" si="14"/>
        <v>0</v>
      </c>
      <c r="S101" s="86">
        <f t="shared" si="15"/>
        <v>0</v>
      </c>
      <c r="T101" s="86">
        <f t="shared" si="17"/>
        <v>0</v>
      </c>
      <c r="U101" s="86">
        <f t="shared" si="16"/>
        <v>0</v>
      </c>
      <c r="V101" s="98">
        <f t="shared" si="18"/>
        <v>0</v>
      </c>
    </row>
    <row r="102" spans="1:22" ht="15" x14ac:dyDescent="0.25">
      <c r="A102" s="97">
        <f t="shared" si="19"/>
        <v>100</v>
      </c>
      <c r="B102" s="86"/>
      <c r="C102" s="86"/>
      <c r="D102" s="86"/>
      <c r="E102" s="86">
        <v>1</v>
      </c>
      <c r="F102" s="95" t="s">
        <v>83</v>
      </c>
      <c r="G102" s="86"/>
      <c r="H102" s="86">
        <v>0</v>
      </c>
      <c r="I102" s="86">
        <v>0</v>
      </c>
      <c r="J102" s="86">
        <v>0</v>
      </c>
      <c r="K102" s="86">
        <v>0</v>
      </c>
      <c r="L102" s="86">
        <v>0</v>
      </c>
      <c r="M102" s="86">
        <f>VLOOKUP(F102,'Прайс Лазер'!$L$3:$M$9,2,0)</f>
        <v>93</v>
      </c>
      <c r="N102" s="86">
        <v>25</v>
      </c>
      <c r="O102" s="94">
        <f>VLOOKUP(E102,'Прайс Лазер'!$I$4:$J$21,2,0)</f>
        <v>1.1499999999999999</v>
      </c>
      <c r="P102" s="86">
        <f>HLOOKUP('Оценка лазера'!$E102,'Прайс Лазер'!$C$26:$T$34,1+VLOOKUP(F102,'Прайс Лазер'!$A$26:$B$34,2,0),0)</f>
        <v>21.849999999999998</v>
      </c>
      <c r="Q102" s="86">
        <f t="shared" si="13"/>
        <v>0</v>
      </c>
      <c r="R102" s="86">
        <f t="shared" si="14"/>
        <v>0</v>
      </c>
      <c r="S102" s="86">
        <f t="shared" si="15"/>
        <v>0</v>
      </c>
      <c r="T102" s="86">
        <f t="shared" si="17"/>
        <v>0</v>
      </c>
      <c r="U102" s="86">
        <f t="shared" si="16"/>
        <v>0</v>
      </c>
      <c r="V102" s="98">
        <f t="shared" si="18"/>
        <v>0</v>
      </c>
    </row>
    <row r="103" spans="1:22" ht="15" x14ac:dyDescent="0.25">
      <c r="A103" s="97">
        <f t="shared" si="19"/>
        <v>101</v>
      </c>
      <c r="B103" s="86"/>
      <c r="C103" s="86"/>
      <c r="D103" s="86"/>
      <c r="E103" s="86">
        <v>1</v>
      </c>
      <c r="F103" s="95" t="s">
        <v>83</v>
      </c>
      <c r="G103" s="86"/>
      <c r="H103" s="86">
        <v>0</v>
      </c>
      <c r="I103" s="86">
        <v>0</v>
      </c>
      <c r="J103" s="86">
        <v>0</v>
      </c>
      <c r="K103" s="86">
        <v>0</v>
      </c>
      <c r="L103" s="86">
        <v>0</v>
      </c>
      <c r="M103" s="86">
        <f>VLOOKUP(F103,'Прайс Лазер'!$L$3:$M$9,2,0)</f>
        <v>93</v>
      </c>
      <c r="N103" s="86">
        <v>25</v>
      </c>
      <c r="O103" s="94">
        <f>VLOOKUP(E103,'Прайс Лазер'!$I$4:$J$21,2,0)</f>
        <v>1.1499999999999999</v>
      </c>
      <c r="P103" s="86">
        <f>HLOOKUP('Оценка лазера'!$E103,'Прайс Лазер'!$C$26:$T$34,1+VLOOKUP(F103,'Прайс Лазер'!$A$26:$B$34,2,0),0)</f>
        <v>21.849999999999998</v>
      </c>
      <c r="Q103" s="86">
        <f t="shared" si="13"/>
        <v>0</v>
      </c>
      <c r="R103" s="86">
        <f t="shared" si="14"/>
        <v>0</v>
      </c>
      <c r="S103" s="86">
        <f t="shared" si="15"/>
        <v>0</v>
      </c>
      <c r="T103" s="86">
        <f t="shared" si="17"/>
        <v>0</v>
      </c>
      <c r="U103" s="86">
        <f t="shared" si="16"/>
        <v>0</v>
      </c>
      <c r="V103" s="98">
        <f t="shared" si="18"/>
        <v>0</v>
      </c>
    </row>
    <row r="104" spans="1:22" ht="15" x14ac:dyDescent="0.25">
      <c r="A104" s="97">
        <f t="shared" si="19"/>
        <v>102</v>
      </c>
      <c r="B104" s="86"/>
      <c r="C104" s="86"/>
      <c r="D104" s="86"/>
      <c r="E104" s="86">
        <v>1</v>
      </c>
      <c r="F104" s="95" t="s">
        <v>83</v>
      </c>
      <c r="G104" s="86"/>
      <c r="H104" s="86">
        <v>0</v>
      </c>
      <c r="I104" s="86">
        <v>0</v>
      </c>
      <c r="J104" s="86">
        <v>0</v>
      </c>
      <c r="K104" s="86">
        <v>0</v>
      </c>
      <c r="L104" s="86">
        <v>0</v>
      </c>
      <c r="M104" s="86">
        <f>VLOOKUP(F104,'Прайс Лазер'!$L$3:$M$9,2,0)</f>
        <v>93</v>
      </c>
      <c r="N104" s="86">
        <v>25</v>
      </c>
      <c r="O104" s="94">
        <f>VLOOKUP(E104,'Прайс Лазер'!$I$4:$J$21,2,0)</f>
        <v>1.1499999999999999</v>
      </c>
      <c r="P104" s="86">
        <f>HLOOKUP('Оценка лазера'!$E104,'Прайс Лазер'!$C$26:$T$34,1+VLOOKUP(F104,'Прайс Лазер'!$A$26:$B$34,2,0),0)</f>
        <v>21.849999999999998</v>
      </c>
      <c r="Q104" s="86">
        <f t="shared" si="13"/>
        <v>0</v>
      </c>
      <c r="R104" s="86">
        <f t="shared" si="14"/>
        <v>0</v>
      </c>
      <c r="S104" s="86">
        <f t="shared" si="15"/>
        <v>0</v>
      </c>
      <c r="T104" s="86">
        <f t="shared" si="17"/>
        <v>0</v>
      </c>
      <c r="U104" s="86">
        <f t="shared" si="16"/>
        <v>0</v>
      </c>
      <c r="V104" s="98">
        <f t="shared" si="18"/>
        <v>0</v>
      </c>
    </row>
    <row r="105" spans="1:22" ht="15" x14ac:dyDescent="0.25">
      <c r="A105" s="97">
        <f t="shared" si="19"/>
        <v>103</v>
      </c>
      <c r="B105" s="86"/>
      <c r="C105" s="86"/>
      <c r="D105" s="86"/>
      <c r="E105" s="86">
        <v>1</v>
      </c>
      <c r="F105" s="95" t="s">
        <v>83</v>
      </c>
      <c r="G105" s="86"/>
      <c r="H105" s="86">
        <v>0</v>
      </c>
      <c r="I105" s="86">
        <v>0</v>
      </c>
      <c r="J105" s="86">
        <v>0</v>
      </c>
      <c r="K105" s="86">
        <v>0</v>
      </c>
      <c r="L105" s="86">
        <v>0</v>
      </c>
      <c r="M105" s="86">
        <f>VLOOKUP(F105,'Прайс Лазер'!$L$3:$M$9,2,0)</f>
        <v>93</v>
      </c>
      <c r="N105" s="86">
        <v>25</v>
      </c>
      <c r="O105" s="94">
        <f>VLOOKUP(E105,'Прайс Лазер'!$I$4:$J$21,2,0)</f>
        <v>1.1499999999999999</v>
      </c>
      <c r="P105" s="86">
        <f>HLOOKUP('Оценка лазера'!$E105,'Прайс Лазер'!$C$26:$T$34,1+VLOOKUP(F105,'Прайс Лазер'!$A$26:$B$34,2,0),0)</f>
        <v>21.849999999999998</v>
      </c>
      <c r="Q105" s="86">
        <f t="shared" si="13"/>
        <v>0</v>
      </c>
      <c r="R105" s="86">
        <f t="shared" si="14"/>
        <v>0</v>
      </c>
      <c r="S105" s="86">
        <f t="shared" si="15"/>
        <v>0</v>
      </c>
      <c r="T105" s="86">
        <f t="shared" si="17"/>
        <v>0</v>
      </c>
      <c r="U105" s="86">
        <f t="shared" si="16"/>
        <v>0</v>
      </c>
      <c r="V105" s="98">
        <f t="shared" si="18"/>
        <v>0</v>
      </c>
    </row>
    <row r="106" spans="1:22" ht="15" x14ac:dyDescent="0.25">
      <c r="A106" s="97">
        <f t="shared" si="19"/>
        <v>104</v>
      </c>
      <c r="B106" s="86"/>
      <c r="C106" s="86"/>
      <c r="D106" s="86"/>
      <c r="E106" s="86">
        <v>1</v>
      </c>
      <c r="F106" s="95" t="s">
        <v>83</v>
      </c>
      <c r="G106" s="86"/>
      <c r="H106" s="86">
        <v>0</v>
      </c>
      <c r="I106" s="86">
        <v>0</v>
      </c>
      <c r="J106" s="86">
        <v>0</v>
      </c>
      <c r="K106" s="86">
        <v>0</v>
      </c>
      <c r="L106" s="86">
        <v>0</v>
      </c>
      <c r="M106" s="86">
        <f>VLOOKUP(F106,'Прайс Лазер'!$L$3:$M$9,2,0)</f>
        <v>93</v>
      </c>
      <c r="N106" s="86">
        <v>25</v>
      </c>
      <c r="O106" s="94">
        <f>VLOOKUP(E106,'Прайс Лазер'!$I$4:$J$21,2,0)</f>
        <v>1.1499999999999999</v>
      </c>
      <c r="P106" s="86">
        <f>HLOOKUP('Оценка лазера'!$E106,'Прайс Лазер'!$C$26:$T$34,1+VLOOKUP(F106,'Прайс Лазер'!$A$26:$B$34,2,0),0)</f>
        <v>21.849999999999998</v>
      </c>
      <c r="Q106" s="86">
        <f t="shared" si="13"/>
        <v>0</v>
      </c>
      <c r="R106" s="86">
        <f t="shared" si="14"/>
        <v>0</v>
      </c>
      <c r="S106" s="86">
        <f t="shared" si="15"/>
        <v>0</v>
      </c>
      <c r="T106" s="86">
        <f t="shared" si="17"/>
        <v>0</v>
      </c>
      <c r="U106" s="86">
        <f t="shared" si="16"/>
        <v>0</v>
      </c>
      <c r="V106" s="98">
        <f t="shared" si="18"/>
        <v>0</v>
      </c>
    </row>
    <row r="107" spans="1:22" ht="15" x14ac:dyDescent="0.25">
      <c r="A107" s="97">
        <f t="shared" si="19"/>
        <v>105</v>
      </c>
      <c r="B107" s="86"/>
      <c r="C107" s="86"/>
      <c r="D107" s="86"/>
      <c r="E107" s="86">
        <v>1</v>
      </c>
      <c r="F107" s="95" t="s">
        <v>83</v>
      </c>
      <c r="G107" s="86"/>
      <c r="H107" s="86">
        <v>0</v>
      </c>
      <c r="I107" s="86">
        <v>0</v>
      </c>
      <c r="J107" s="86">
        <v>0</v>
      </c>
      <c r="K107" s="86">
        <v>0</v>
      </c>
      <c r="L107" s="86">
        <v>0</v>
      </c>
      <c r="M107" s="86">
        <f>VLOOKUP(F107,'Прайс Лазер'!$L$3:$M$9,2,0)</f>
        <v>93</v>
      </c>
      <c r="N107" s="86">
        <v>25</v>
      </c>
      <c r="O107" s="94">
        <f>VLOOKUP(E107,'Прайс Лазер'!$I$4:$J$21,2,0)</f>
        <v>1.1499999999999999</v>
      </c>
      <c r="P107" s="86">
        <f>HLOOKUP('Оценка лазера'!$E107,'Прайс Лазер'!$C$26:$T$34,1+VLOOKUP(F107,'Прайс Лазер'!$A$26:$B$34,2,0),0)</f>
        <v>21.849999999999998</v>
      </c>
      <c r="Q107" s="86">
        <f t="shared" si="13"/>
        <v>0</v>
      </c>
      <c r="R107" s="86">
        <f t="shared" si="14"/>
        <v>0</v>
      </c>
      <c r="S107" s="86">
        <f t="shared" si="15"/>
        <v>0</v>
      </c>
      <c r="T107" s="86">
        <f t="shared" si="17"/>
        <v>0</v>
      </c>
      <c r="U107" s="86">
        <f t="shared" si="16"/>
        <v>0</v>
      </c>
      <c r="V107" s="98">
        <f t="shared" si="18"/>
        <v>0</v>
      </c>
    </row>
    <row r="108" spans="1:22" ht="15" x14ac:dyDescent="0.25">
      <c r="A108" s="97">
        <f t="shared" si="19"/>
        <v>106</v>
      </c>
      <c r="B108" s="86"/>
      <c r="C108" s="86"/>
      <c r="D108" s="86"/>
      <c r="E108" s="86">
        <v>1</v>
      </c>
      <c r="F108" s="95" t="s">
        <v>83</v>
      </c>
      <c r="G108" s="86"/>
      <c r="H108" s="86">
        <v>0</v>
      </c>
      <c r="I108" s="86">
        <v>0</v>
      </c>
      <c r="J108" s="86">
        <v>0</v>
      </c>
      <c r="K108" s="86">
        <v>0</v>
      </c>
      <c r="L108" s="86">
        <v>0</v>
      </c>
      <c r="M108" s="86">
        <f>VLOOKUP(F108,'Прайс Лазер'!$L$3:$M$9,2,0)</f>
        <v>93</v>
      </c>
      <c r="N108" s="86">
        <v>25</v>
      </c>
      <c r="O108" s="94">
        <f>VLOOKUP(E108,'Прайс Лазер'!$I$4:$J$21,2,0)</f>
        <v>1.1499999999999999</v>
      </c>
      <c r="P108" s="86">
        <f>HLOOKUP('Оценка лазера'!$E108,'Прайс Лазер'!$C$26:$T$34,1+VLOOKUP(F108,'Прайс Лазер'!$A$26:$B$34,2,0),0)</f>
        <v>21.849999999999998</v>
      </c>
      <c r="Q108" s="86">
        <f t="shared" si="13"/>
        <v>0</v>
      </c>
      <c r="R108" s="86">
        <f t="shared" si="14"/>
        <v>0</v>
      </c>
      <c r="S108" s="86">
        <f t="shared" si="15"/>
        <v>0</v>
      </c>
      <c r="T108" s="86">
        <f t="shared" si="17"/>
        <v>0</v>
      </c>
      <c r="U108" s="86">
        <f t="shared" si="16"/>
        <v>0</v>
      </c>
      <c r="V108" s="98">
        <f t="shared" si="18"/>
        <v>0</v>
      </c>
    </row>
    <row r="109" spans="1:22" ht="15" x14ac:dyDescent="0.25">
      <c r="A109" s="97">
        <f t="shared" si="19"/>
        <v>107</v>
      </c>
      <c r="B109" s="86"/>
      <c r="C109" s="86"/>
      <c r="D109" s="86"/>
      <c r="E109" s="86">
        <v>1</v>
      </c>
      <c r="F109" s="95" t="s">
        <v>83</v>
      </c>
      <c r="G109" s="86"/>
      <c r="H109" s="86">
        <v>0</v>
      </c>
      <c r="I109" s="86">
        <v>0</v>
      </c>
      <c r="J109" s="86">
        <v>0</v>
      </c>
      <c r="K109" s="86">
        <v>0</v>
      </c>
      <c r="L109" s="86">
        <v>0</v>
      </c>
      <c r="M109" s="86">
        <f>VLOOKUP(F109,'Прайс Лазер'!$L$3:$M$9,2,0)</f>
        <v>93</v>
      </c>
      <c r="N109" s="86">
        <v>25</v>
      </c>
      <c r="O109" s="94">
        <f>VLOOKUP(E109,'Прайс Лазер'!$I$4:$J$21,2,0)</f>
        <v>1.1499999999999999</v>
      </c>
      <c r="P109" s="86">
        <f>HLOOKUP('Оценка лазера'!$E109,'Прайс Лазер'!$C$26:$T$34,1+VLOOKUP(F109,'Прайс Лазер'!$A$26:$B$34,2,0),0)</f>
        <v>21.849999999999998</v>
      </c>
      <c r="Q109" s="86">
        <f t="shared" si="13"/>
        <v>0</v>
      </c>
      <c r="R109" s="86">
        <f t="shared" si="14"/>
        <v>0</v>
      </c>
      <c r="S109" s="86">
        <f t="shared" si="15"/>
        <v>0</v>
      </c>
      <c r="T109" s="86">
        <f t="shared" si="17"/>
        <v>0</v>
      </c>
      <c r="U109" s="86">
        <f t="shared" si="16"/>
        <v>0</v>
      </c>
      <c r="V109" s="98">
        <f t="shared" si="18"/>
        <v>0</v>
      </c>
    </row>
    <row r="110" spans="1:22" ht="15" x14ac:dyDescent="0.25">
      <c r="A110" s="97">
        <f t="shared" si="19"/>
        <v>108</v>
      </c>
      <c r="B110" s="86"/>
      <c r="C110" s="86"/>
      <c r="D110" s="86"/>
      <c r="E110" s="86">
        <v>1</v>
      </c>
      <c r="F110" s="95" t="s">
        <v>83</v>
      </c>
      <c r="G110" s="86"/>
      <c r="H110" s="86">
        <v>0</v>
      </c>
      <c r="I110" s="86">
        <v>0</v>
      </c>
      <c r="J110" s="86">
        <v>0</v>
      </c>
      <c r="K110" s="86">
        <v>0</v>
      </c>
      <c r="L110" s="86">
        <v>0</v>
      </c>
      <c r="M110" s="86">
        <f>VLOOKUP(F110,'Прайс Лазер'!$L$3:$M$9,2,0)</f>
        <v>93</v>
      </c>
      <c r="N110" s="86">
        <v>25</v>
      </c>
      <c r="O110" s="94">
        <f>VLOOKUP(E110,'Прайс Лазер'!$I$4:$J$21,2,0)</f>
        <v>1.1499999999999999</v>
      </c>
      <c r="P110" s="86">
        <f>HLOOKUP('Оценка лазера'!$E110,'Прайс Лазер'!$C$26:$T$34,1+VLOOKUP(F110,'Прайс Лазер'!$A$26:$B$34,2,0),0)</f>
        <v>21.849999999999998</v>
      </c>
      <c r="Q110" s="86">
        <f t="shared" si="13"/>
        <v>0</v>
      </c>
      <c r="R110" s="86">
        <f t="shared" si="14"/>
        <v>0</v>
      </c>
      <c r="S110" s="86">
        <f t="shared" si="15"/>
        <v>0</v>
      </c>
      <c r="T110" s="86">
        <f t="shared" si="17"/>
        <v>0</v>
      </c>
      <c r="U110" s="86">
        <f t="shared" si="16"/>
        <v>0</v>
      </c>
      <c r="V110" s="98">
        <f t="shared" si="18"/>
        <v>0</v>
      </c>
    </row>
    <row r="111" spans="1:22" ht="15" x14ac:dyDescent="0.25">
      <c r="A111" s="97">
        <f t="shared" si="19"/>
        <v>109</v>
      </c>
      <c r="B111" s="86"/>
      <c r="C111" s="86"/>
      <c r="D111" s="86"/>
      <c r="E111" s="86">
        <v>1</v>
      </c>
      <c r="F111" s="95" t="s">
        <v>83</v>
      </c>
      <c r="G111" s="86"/>
      <c r="H111" s="86">
        <v>0</v>
      </c>
      <c r="I111" s="86">
        <v>0</v>
      </c>
      <c r="J111" s="86">
        <v>0</v>
      </c>
      <c r="K111" s="86">
        <v>0</v>
      </c>
      <c r="L111" s="86">
        <v>0</v>
      </c>
      <c r="M111" s="86">
        <f>VLOOKUP(F111,'Прайс Лазер'!$L$3:$M$9,2,0)</f>
        <v>93</v>
      </c>
      <c r="N111" s="86">
        <v>25</v>
      </c>
      <c r="O111" s="94">
        <f>VLOOKUP(E111,'Прайс Лазер'!$I$4:$J$21,2,0)</f>
        <v>1.1499999999999999</v>
      </c>
      <c r="P111" s="86">
        <f>HLOOKUP('Оценка лазера'!$E111,'Прайс Лазер'!$C$26:$T$34,1+VLOOKUP(F111,'Прайс Лазер'!$A$26:$B$34,2,0),0)</f>
        <v>21.849999999999998</v>
      </c>
      <c r="Q111" s="86">
        <f t="shared" si="13"/>
        <v>0</v>
      </c>
      <c r="R111" s="86">
        <f t="shared" si="14"/>
        <v>0</v>
      </c>
      <c r="S111" s="86">
        <f t="shared" si="15"/>
        <v>0</v>
      </c>
      <c r="T111" s="86">
        <f t="shared" si="17"/>
        <v>0</v>
      </c>
      <c r="U111" s="86">
        <f t="shared" si="16"/>
        <v>0</v>
      </c>
      <c r="V111" s="98">
        <f t="shared" si="18"/>
        <v>0</v>
      </c>
    </row>
    <row r="112" spans="1:22" ht="15" x14ac:dyDescent="0.25">
      <c r="A112" s="97">
        <f t="shared" si="19"/>
        <v>110</v>
      </c>
      <c r="B112" s="86"/>
      <c r="C112" s="86"/>
      <c r="D112" s="86"/>
      <c r="E112" s="86">
        <v>1</v>
      </c>
      <c r="F112" s="95" t="s">
        <v>83</v>
      </c>
      <c r="G112" s="86"/>
      <c r="H112" s="86">
        <v>0</v>
      </c>
      <c r="I112" s="86">
        <v>0</v>
      </c>
      <c r="J112" s="86">
        <v>0</v>
      </c>
      <c r="K112" s="86">
        <v>0</v>
      </c>
      <c r="L112" s="86">
        <v>0</v>
      </c>
      <c r="M112" s="86">
        <f>VLOOKUP(F112,'Прайс Лазер'!$L$3:$M$9,2,0)</f>
        <v>93</v>
      </c>
      <c r="N112" s="86">
        <v>25</v>
      </c>
      <c r="O112" s="94">
        <f>VLOOKUP(E112,'Прайс Лазер'!$I$4:$J$21,2,0)</f>
        <v>1.1499999999999999</v>
      </c>
      <c r="P112" s="86">
        <f>HLOOKUP('Оценка лазера'!$E112,'Прайс Лазер'!$C$26:$T$34,1+VLOOKUP(F112,'Прайс Лазер'!$A$26:$B$34,2,0),0)</f>
        <v>21.849999999999998</v>
      </c>
      <c r="Q112" s="86">
        <f t="shared" si="13"/>
        <v>0</v>
      </c>
      <c r="R112" s="86">
        <f t="shared" si="14"/>
        <v>0</v>
      </c>
      <c r="S112" s="86">
        <f t="shared" si="15"/>
        <v>0</v>
      </c>
      <c r="T112" s="86">
        <f t="shared" si="17"/>
        <v>0</v>
      </c>
      <c r="U112" s="86">
        <f t="shared" si="16"/>
        <v>0</v>
      </c>
      <c r="V112" s="98">
        <f t="shared" si="18"/>
        <v>0</v>
      </c>
    </row>
    <row r="113" spans="1:22" ht="15" x14ac:dyDescent="0.25">
      <c r="A113" s="97">
        <f t="shared" si="19"/>
        <v>111</v>
      </c>
      <c r="B113" s="86"/>
      <c r="C113" s="86"/>
      <c r="D113" s="86"/>
      <c r="E113" s="86">
        <v>1</v>
      </c>
      <c r="F113" s="95" t="s">
        <v>83</v>
      </c>
      <c r="G113" s="86"/>
      <c r="H113" s="86">
        <v>0</v>
      </c>
      <c r="I113" s="86">
        <v>0</v>
      </c>
      <c r="J113" s="86">
        <v>0</v>
      </c>
      <c r="K113" s="86">
        <v>0</v>
      </c>
      <c r="L113" s="86">
        <v>0</v>
      </c>
      <c r="M113" s="86">
        <f>VLOOKUP(F113,'Прайс Лазер'!$L$3:$M$9,2,0)</f>
        <v>93</v>
      </c>
      <c r="N113" s="86">
        <v>25</v>
      </c>
      <c r="O113" s="94">
        <f>VLOOKUP(E113,'Прайс Лазер'!$I$4:$J$21,2,0)</f>
        <v>1.1499999999999999</v>
      </c>
      <c r="P113" s="86">
        <f>HLOOKUP('Оценка лазера'!$E113,'Прайс Лазер'!$C$26:$T$34,1+VLOOKUP(F113,'Прайс Лазер'!$A$26:$B$34,2,0),0)</f>
        <v>21.849999999999998</v>
      </c>
      <c r="Q113" s="86">
        <f t="shared" si="13"/>
        <v>0</v>
      </c>
      <c r="R113" s="86">
        <f t="shared" si="14"/>
        <v>0</v>
      </c>
      <c r="S113" s="86">
        <f t="shared" si="15"/>
        <v>0</v>
      </c>
      <c r="T113" s="86">
        <f t="shared" si="17"/>
        <v>0</v>
      </c>
      <c r="U113" s="86">
        <f t="shared" si="16"/>
        <v>0</v>
      </c>
      <c r="V113" s="98">
        <f t="shared" si="18"/>
        <v>0</v>
      </c>
    </row>
    <row r="114" spans="1:22" ht="15" x14ac:dyDescent="0.25">
      <c r="A114" s="97">
        <f t="shared" si="19"/>
        <v>112</v>
      </c>
      <c r="B114" s="86"/>
      <c r="C114" s="86"/>
      <c r="D114" s="86"/>
      <c r="E114" s="86">
        <v>1</v>
      </c>
      <c r="F114" s="95" t="s">
        <v>83</v>
      </c>
      <c r="G114" s="86"/>
      <c r="H114" s="86">
        <v>0</v>
      </c>
      <c r="I114" s="86">
        <v>0</v>
      </c>
      <c r="J114" s="86">
        <v>0</v>
      </c>
      <c r="K114" s="86">
        <v>0</v>
      </c>
      <c r="L114" s="86">
        <v>0</v>
      </c>
      <c r="M114" s="86">
        <f>VLOOKUP(F114,'Прайс Лазер'!$L$3:$M$9,2,0)</f>
        <v>93</v>
      </c>
      <c r="N114" s="86">
        <v>25</v>
      </c>
      <c r="O114" s="94">
        <f>VLOOKUP(E114,'Прайс Лазер'!$I$4:$J$21,2,0)</f>
        <v>1.1499999999999999</v>
      </c>
      <c r="P114" s="86">
        <f>HLOOKUP('Оценка лазера'!$E114,'Прайс Лазер'!$C$26:$T$34,1+VLOOKUP(F114,'Прайс Лазер'!$A$26:$B$34,2,0),0)</f>
        <v>21.849999999999998</v>
      </c>
      <c r="Q114" s="86">
        <f t="shared" si="13"/>
        <v>0</v>
      </c>
      <c r="R114" s="86">
        <f t="shared" si="14"/>
        <v>0</v>
      </c>
      <c r="S114" s="86">
        <f t="shared" si="15"/>
        <v>0</v>
      </c>
      <c r="T114" s="86">
        <f t="shared" si="17"/>
        <v>0</v>
      </c>
      <c r="U114" s="86">
        <f t="shared" si="16"/>
        <v>0</v>
      </c>
      <c r="V114" s="98">
        <f t="shared" si="18"/>
        <v>0</v>
      </c>
    </row>
    <row r="115" spans="1:22" ht="15" x14ac:dyDescent="0.25">
      <c r="A115" s="97">
        <f t="shared" si="19"/>
        <v>113</v>
      </c>
      <c r="B115" s="86"/>
      <c r="C115" s="86"/>
      <c r="D115" s="86"/>
      <c r="E115" s="86">
        <v>1</v>
      </c>
      <c r="F115" s="95" t="s">
        <v>83</v>
      </c>
      <c r="G115" s="86"/>
      <c r="H115" s="86">
        <v>0</v>
      </c>
      <c r="I115" s="86">
        <v>0</v>
      </c>
      <c r="J115" s="86">
        <v>0</v>
      </c>
      <c r="K115" s="86">
        <v>0</v>
      </c>
      <c r="L115" s="86">
        <v>0</v>
      </c>
      <c r="M115" s="86">
        <f>VLOOKUP(F115,'Прайс Лазер'!$L$3:$M$9,2,0)</f>
        <v>93</v>
      </c>
      <c r="N115" s="86">
        <v>25</v>
      </c>
      <c r="O115" s="94">
        <f>VLOOKUP(E115,'Прайс Лазер'!$I$4:$J$21,2,0)</f>
        <v>1.1499999999999999</v>
      </c>
      <c r="P115" s="86">
        <f>HLOOKUP('Оценка лазера'!$E115,'Прайс Лазер'!$C$26:$T$34,1+VLOOKUP(F115,'Прайс Лазер'!$A$26:$B$34,2,0),0)</f>
        <v>21.849999999999998</v>
      </c>
      <c r="Q115" s="86">
        <f t="shared" si="13"/>
        <v>0</v>
      </c>
      <c r="R115" s="86">
        <f t="shared" si="14"/>
        <v>0</v>
      </c>
      <c r="S115" s="86">
        <f t="shared" si="15"/>
        <v>0</v>
      </c>
      <c r="T115" s="86">
        <f t="shared" si="17"/>
        <v>0</v>
      </c>
      <c r="U115" s="86">
        <f t="shared" si="16"/>
        <v>0</v>
      </c>
      <c r="V115" s="98">
        <f t="shared" si="18"/>
        <v>0</v>
      </c>
    </row>
    <row r="116" spans="1:22" ht="15" x14ac:dyDescent="0.25">
      <c r="A116" s="97">
        <f t="shared" si="19"/>
        <v>114</v>
      </c>
      <c r="B116" s="86"/>
      <c r="C116" s="86"/>
      <c r="D116" s="86"/>
      <c r="E116" s="86">
        <v>1</v>
      </c>
      <c r="F116" s="95" t="s">
        <v>83</v>
      </c>
      <c r="G116" s="86"/>
      <c r="H116" s="86">
        <v>0</v>
      </c>
      <c r="I116" s="86">
        <v>0</v>
      </c>
      <c r="J116" s="86">
        <v>0</v>
      </c>
      <c r="K116" s="86">
        <v>0</v>
      </c>
      <c r="L116" s="86">
        <v>0</v>
      </c>
      <c r="M116" s="86">
        <f>VLOOKUP(F116,'Прайс Лазер'!$L$3:$M$9,2,0)</f>
        <v>93</v>
      </c>
      <c r="N116" s="86">
        <v>25</v>
      </c>
      <c r="O116" s="94">
        <f>VLOOKUP(E116,'Прайс Лазер'!$I$4:$J$21,2,0)</f>
        <v>1.1499999999999999</v>
      </c>
      <c r="P116" s="86">
        <f>HLOOKUP('Оценка лазера'!$E116,'Прайс Лазер'!$C$26:$T$34,1+VLOOKUP(F116,'Прайс Лазер'!$A$26:$B$34,2,0),0)</f>
        <v>21.849999999999998</v>
      </c>
      <c r="Q116" s="86">
        <f t="shared" si="13"/>
        <v>0</v>
      </c>
      <c r="R116" s="86">
        <f t="shared" si="14"/>
        <v>0</v>
      </c>
      <c r="S116" s="86">
        <f t="shared" si="15"/>
        <v>0</v>
      </c>
      <c r="T116" s="86">
        <f t="shared" si="17"/>
        <v>0</v>
      </c>
      <c r="U116" s="86">
        <f t="shared" si="16"/>
        <v>0</v>
      </c>
      <c r="V116" s="98">
        <f t="shared" si="18"/>
        <v>0</v>
      </c>
    </row>
    <row r="117" spans="1:22" ht="15" x14ac:dyDescent="0.25">
      <c r="A117" s="97">
        <f t="shared" si="19"/>
        <v>115</v>
      </c>
      <c r="B117" s="86"/>
      <c r="C117" s="86"/>
      <c r="D117" s="86"/>
      <c r="E117" s="86">
        <v>1</v>
      </c>
      <c r="F117" s="95" t="s">
        <v>83</v>
      </c>
      <c r="G117" s="86"/>
      <c r="H117" s="86">
        <v>0</v>
      </c>
      <c r="I117" s="86">
        <v>0</v>
      </c>
      <c r="J117" s="86">
        <v>0</v>
      </c>
      <c r="K117" s="86">
        <v>0</v>
      </c>
      <c r="L117" s="86">
        <v>0</v>
      </c>
      <c r="M117" s="86">
        <f>VLOOKUP(F117,'Прайс Лазер'!$L$3:$M$9,2,0)</f>
        <v>93</v>
      </c>
      <c r="N117" s="86">
        <v>25</v>
      </c>
      <c r="O117" s="94">
        <f>VLOOKUP(E117,'Прайс Лазер'!$I$4:$J$21,2,0)</f>
        <v>1.1499999999999999</v>
      </c>
      <c r="P117" s="86">
        <f>HLOOKUP('Оценка лазера'!$E117,'Прайс Лазер'!$C$26:$T$34,1+VLOOKUP(F117,'Прайс Лазер'!$A$26:$B$34,2,0),0)</f>
        <v>21.849999999999998</v>
      </c>
      <c r="Q117" s="86">
        <f t="shared" si="13"/>
        <v>0</v>
      </c>
      <c r="R117" s="86">
        <f t="shared" si="14"/>
        <v>0</v>
      </c>
      <c r="S117" s="86">
        <f t="shared" si="15"/>
        <v>0</v>
      </c>
      <c r="T117" s="86">
        <f t="shared" si="17"/>
        <v>0</v>
      </c>
      <c r="U117" s="86">
        <f t="shared" si="16"/>
        <v>0</v>
      </c>
      <c r="V117" s="98">
        <f t="shared" si="18"/>
        <v>0</v>
      </c>
    </row>
    <row r="118" spans="1:22" ht="15" x14ac:dyDescent="0.25">
      <c r="A118" s="97">
        <f t="shared" si="19"/>
        <v>116</v>
      </c>
      <c r="B118" s="86"/>
      <c r="C118" s="86"/>
      <c r="D118" s="86"/>
      <c r="E118" s="86">
        <v>1</v>
      </c>
      <c r="F118" s="95" t="s">
        <v>83</v>
      </c>
      <c r="G118" s="86"/>
      <c r="H118" s="86">
        <v>0</v>
      </c>
      <c r="I118" s="86">
        <v>0</v>
      </c>
      <c r="J118" s="86">
        <v>0</v>
      </c>
      <c r="K118" s="86">
        <v>0</v>
      </c>
      <c r="L118" s="86">
        <v>0</v>
      </c>
      <c r="M118" s="86">
        <f>VLOOKUP(F118,'Прайс Лазер'!$L$3:$M$9,2,0)</f>
        <v>93</v>
      </c>
      <c r="N118" s="86">
        <v>25</v>
      </c>
      <c r="O118" s="94">
        <f>VLOOKUP(E118,'Прайс Лазер'!$I$4:$J$21,2,0)</f>
        <v>1.1499999999999999</v>
      </c>
      <c r="P118" s="86">
        <f>HLOOKUP('Оценка лазера'!$E118,'Прайс Лазер'!$C$26:$T$34,1+VLOOKUP(F118,'Прайс Лазер'!$A$26:$B$34,2,0),0)</f>
        <v>21.849999999999998</v>
      </c>
      <c r="Q118" s="86">
        <f t="shared" si="13"/>
        <v>0</v>
      </c>
      <c r="R118" s="86">
        <f t="shared" si="14"/>
        <v>0</v>
      </c>
      <c r="S118" s="86">
        <f t="shared" si="15"/>
        <v>0</v>
      </c>
      <c r="T118" s="86">
        <f t="shared" si="17"/>
        <v>0</v>
      </c>
      <c r="U118" s="86">
        <f t="shared" si="16"/>
        <v>0</v>
      </c>
      <c r="V118" s="98">
        <f t="shared" si="18"/>
        <v>0</v>
      </c>
    </row>
    <row r="119" spans="1:22" ht="15" x14ac:dyDescent="0.25">
      <c r="A119" s="97">
        <f t="shared" si="19"/>
        <v>117</v>
      </c>
      <c r="B119" s="86"/>
      <c r="C119" s="86"/>
      <c r="D119" s="86"/>
      <c r="E119" s="86">
        <v>1</v>
      </c>
      <c r="F119" s="95" t="s">
        <v>83</v>
      </c>
      <c r="G119" s="86"/>
      <c r="H119" s="86">
        <v>0</v>
      </c>
      <c r="I119" s="86">
        <v>0</v>
      </c>
      <c r="J119" s="86">
        <v>0</v>
      </c>
      <c r="K119" s="86">
        <v>0</v>
      </c>
      <c r="L119" s="86">
        <v>0</v>
      </c>
      <c r="M119" s="86">
        <f>VLOOKUP(F119,'Прайс Лазер'!$L$3:$M$9,2,0)</f>
        <v>93</v>
      </c>
      <c r="N119" s="86">
        <v>25</v>
      </c>
      <c r="O119" s="94">
        <f>VLOOKUP(E119,'Прайс Лазер'!$I$4:$J$21,2,0)</f>
        <v>1.1499999999999999</v>
      </c>
      <c r="P119" s="86">
        <f>HLOOKUP('Оценка лазера'!$E119,'Прайс Лазер'!$C$26:$T$34,1+VLOOKUP(F119,'Прайс Лазер'!$A$26:$B$34,2,0),0)</f>
        <v>21.849999999999998</v>
      </c>
      <c r="Q119" s="86">
        <f t="shared" si="13"/>
        <v>0</v>
      </c>
      <c r="R119" s="86">
        <f t="shared" si="14"/>
        <v>0</v>
      </c>
      <c r="S119" s="86">
        <f t="shared" si="15"/>
        <v>0</v>
      </c>
      <c r="T119" s="86">
        <f t="shared" si="17"/>
        <v>0</v>
      </c>
      <c r="U119" s="86">
        <f t="shared" si="16"/>
        <v>0</v>
      </c>
      <c r="V119" s="98">
        <f t="shared" si="18"/>
        <v>0</v>
      </c>
    </row>
    <row r="120" spans="1:22" ht="15" x14ac:dyDescent="0.25">
      <c r="A120" s="97">
        <f t="shared" si="19"/>
        <v>118</v>
      </c>
      <c r="B120" s="86"/>
      <c r="C120" s="86"/>
      <c r="D120" s="86"/>
      <c r="E120" s="86">
        <v>1</v>
      </c>
      <c r="F120" s="95" t="s">
        <v>83</v>
      </c>
      <c r="G120" s="86"/>
      <c r="H120" s="86">
        <v>0</v>
      </c>
      <c r="I120" s="86">
        <v>0</v>
      </c>
      <c r="J120" s="86">
        <v>0</v>
      </c>
      <c r="K120" s="86">
        <v>0</v>
      </c>
      <c r="L120" s="86">
        <v>0</v>
      </c>
      <c r="M120" s="86">
        <f>VLOOKUP(F120,'Прайс Лазер'!$L$3:$M$9,2,0)</f>
        <v>93</v>
      </c>
      <c r="N120" s="86">
        <v>25</v>
      </c>
      <c r="O120" s="94">
        <f>VLOOKUP(E120,'Прайс Лазер'!$I$4:$J$21,2,0)</f>
        <v>1.1499999999999999</v>
      </c>
      <c r="P120" s="86">
        <f>HLOOKUP('Оценка лазера'!$E120,'Прайс Лазер'!$C$26:$T$34,1+VLOOKUP(F120,'Прайс Лазер'!$A$26:$B$34,2,0),0)</f>
        <v>21.849999999999998</v>
      </c>
      <c r="Q120" s="86">
        <f t="shared" si="13"/>
        <v>0</v>
      </c>
      <c r="R120" s="86">
        <f t="shared" si="14"/>
        <v>0</v>
      </c>
      <c r="S120" s="86">
        <f t="shared" si="15"/>
        <v>0</v>
      </c>
      <c r="T120" s="86">
        <f t="shared" si="17"/>
        <v>0</v>
      </c>
      <c r="U120" s="86">
        <f t="shared" si="16"/>
        <v>0</v>
      </c>
      <c r="V120" s="98">
        <f t="shared" si="18"/>
        <v>0</v>
      </c>
    </row>
    <row r="121" spans="1:22" ht="15" x14ac:dyDescent="0.25">
      <c r="A121" s="97">
        <f t="shared" si="19"/>
        <v>119</v>
      </c>
      <c r="B121" s="86"/>
      <c r="C121" s="86"/>
      <c r="D121" s="86"/>
      <c r="E121" s="86">
        <v>1</v>
      </c>
      <c r="F121" s="95" t="s">
        <v>83</v>
      </c>
      <c r="G121" s="86"/>
      <c r="H121" s="86">
        <v>0</v>
      </c>
      <c r="I121" s="86">
        <v>0</v>
      </c>
      <c r="J121" s="86">
        <v>0</v>
      </c>
      <c r="K121" s="86">
        <v>0</v>
      </c>
      <c r="L121" s="86">
        <v>0</v>
      </c>
      <c r="M121" s="86">
        <f>VLOOKUP(F121,'Прайс Лазер'!$L$3:$M$9,2,0)</f>
        <v>93</v>
      </c>
      <c r="N121" s="86">
        <v>25</v>
      </c>
      <c r="O121" s="94">
        <f>VLOOKUP(E121,'Прайс Лазер'!$I$4:$J$21,2,0)</f>
        <v>1.1499999999999999</v>
      </c>
      <c r="P121" s="86">
        <f>HLOOKUP('Оценка лазера'!$E121,'Прайс Лазер'!$C$26:$T$34,1+VLOOKUP(F121,'Прайс Лазер'!$A$26:$B$34,2,0),0)</f>
        <v>21.849999999999998</v>
      </c>
      <c r="Q121" s="86">
        <f t="shared" si="13"/>
        <v>0</v>
      </c>
      <c r="R121" s="86">
        <f t="shared" si="14"/>
        <v>0</v>
      </c>
      <c r="S121" s="86">
        <f t="shared" si="15"/>
        <v>0</v>
      </c>
      <c r="T121" s="86">
        <f t="shared" si="17"/>
        <v>0</v>
      </c>
      <c r="U121" s="86">
        <f t="shared" si="16"/>
        <v>0</v>
      </c>
      <c r="V121" s="98">
        <f t="shared" si="18"/>
        <v>0</v>
      </c>
    </row>
    <row r="122" spans="1:22" ht="15" x14ac:dyDescent="0.25">
      <c r="A122" s="97">
        <f t="shared" si="19"/>
        <v>120</v>
      </c>
      <c r="B122" s="86"/>
      <c r="C122" s="86"/>
      <c r="D122" s="86"/>
      <c r="E122" s="86">
        <v>1</v>
      </c>
      <c r="F122" s="95" t="s">
        <v>83</v>
      </c>
      <c r="G122" s="86"/>
      <c r="H122" s="86">
        <v>0</v>
      </c>
      <c r="I122" s="86">
        <v>0</v>
      </c>
      <c r="J122" s="86">
        <v>0</v>
      </c>
      <c r="K122" s="86">
        <v>0</v>
      </c>
      <c r="L122" s="86">
        <v>0</v>
      </c>
      <c r="M122" s="86">
        <f>VLOOKUP(F122,'Прайс Лазер'!$L$3:$M$9,2,0)</f>
        <v>93</v>
      </c>
      <c r="N122" s="86">
        <v>25</v>
      </c>
      <c r="O122" s="94">
        <f>VLOOKUP(E122,'Прайс Лазер'!$I$4:$J$21,2,0)</f>
        <v>1.1499999999999999</v>
      </c>
      <c r="P122" s="86">
        <f>HLOOKUP('Оценка лазера'!$E122,'Прайс Лазер'!$C$26:$T$34,1+VLOOKUP(F122,'Прайс Лазер'!$A$26:$B$34,2,0),0)</f>
        <v>21.849999999999998</v>
      </c>
      <c r="Q122" s="86">
        <f t="shared" si="13"/>
        <v>0</v>
      </c>
      <c r="R122" s="86">
        <f t="shared" si="14"/>
        <v>0</v>
      </c>
      <c r="S122" s="86">
        <f t="shared" si="15"/>
        <v>0</v>
      </c>
      <c r="T122" s="86">
        <f t="shared" si="17"/>
        <v>0</v>
      </c>
      <c r="U122" s="86">
        <f t="shared" si="16"/>
        <v>0</v>
      </c>
      <c r="V122" s="98">
        <f t="shared" si="18"/>
        <v>0</v>
      </c>
    </row>
    <row r="123" spans="1:22" ht="15" x14ac:dyDescent="0.25">
      <c r="A123" s="97">
        <f t="shared" si="19"/>
        <v>121</v>
      </c>
      <c r="B123" s="86"/>
      <c r="C123" s="86"/>
      <c r="D123" s="86"/>
      <c r="E123" s="86">
        <v>1</v>
      </c>
      <c r="F123" s="95" t="s">
        <v>83</v>
      </c>
      <c r="G123" s="86"/>
      <c r="H123" s="86">
        <v>0</v>
      </c>
      <c r="I123" s="86">
        <v>0</v>
      </c>
      <c r="J123" s="86">
        <v>0</v>
      </c>
      <c r="K123" s="86">
        <v>0</v>
      </c>
      <c r="L123" s="86">
        <v>0</v>
      </c>
      <c r="M123" s="86">
        <f>VLOOKUP(F123,'Прайс Лазер'!$L$3:$M$9,2,0)</f>
        <v>93</v>
      </c>
      <c r="N123" s="86">
        <v>25</v>
      </c>
      <c r="O123" s="94">
        <f>VLOOKUP(E123,'Прайс Лазер'!$I$4:$J$21,2,0)</f>
        <v>1.1499999999999999</v>
      </c>
      <c r="P123" s="86">
        <f>HLOOKUP('Оценка лазера'!$E123,'Прайс Лазер'!$C$26:$T$34,1+VLOOKUP(F123,'Прайс Лазер'!$A$26:$B$34,2,0),0)</f>
        <v>21.849999999999998</v>
      </c>
      <c r="Q123" s="86">
        <f t="shared" si="13"/>
        <v>0</v>
      </c>
      <c r="R123" s="86">
        <f t="shared" si="14"/>
        <v>0</v>
      </c>
      <c r="S123" s="86">
        <f t="shared" si="15"/>
        <v>0</v>
      </c>
      <c r="T123" s="86">
        <f t="shared" si="17"/>
        <v>0</v>
      </c>
      <c r="U123" s="86">
        <f t="shared" si="16"/>
        <v>0</v>
      </c>
      <c r="V123" s="98">
        <f t="shared" si="18"/>
        <v>0</v>
      </c>
    </row>
    <row r="124" spans="1:22" ht="15" x14ac:dyDescent="0.25">
      <c r="A124" s="97">
        <f t="shared" si="19"/>
        <v>122</v>
      </c>
      <c r="B124" s="86"/>
      <c r="C124" s="86"/>
      <c r="D124" s="86"/>
      <c r="E124" s="86">
        <v>1</v>
      </c>
      <c r="F124" s="95" t="s">
        <v>83</v>
      </c>
      <c r="G124" s="86"/>
      <c r="H124" s="86">
        <v>0</v>
      </c>
      <c r="I124" s="86">
        <v>0</v>
      </c>
      <c r="J124" s="86">
        <v>0</v>
      </c>
      <c r="K124" s="86">
        <v>0</v>
      </c>
      <c r="L124" s="86">
        <v>0</v>
      </c>
      <c r="M124" s="86">
        <f>VLOOKUP(F124,'Прайс Лазер'!$L$3:$M$9,2,0)</f>
        <v>93</v>
      </c>
      <c r="N124" s="86">
        <v>25</v>
      </c>
      <c r="O124" s="94">
        <f>VLOOKUP(E124,'Прайс Лазер'!$I$4:$J$21,2,0)</f>
        <v>1.1499999999999999</v>
      </c>
      <c r="P124" s="86">
        <f>HLOOKUP('Оценка лазера'!$E124,'Прайс Лазер'!$C$26:$T$34,1+VLOOKUP(F124,'Прайс Лазер'!$A$26:$B$34,2,0),0)</f>
        <v>21.849999999999998</v>
      </c>
      <c r="Q124" s="86">
        <f t="shared" si="13"/>
        <v>0</v>
      </c>
      <c r="R124" s="86">
        <f t="shared" si="14"/>
        <v>0</v>
      </c>
      <c r="S124" s="86">
        <f t="shared" si="15"/>
        <v>0</v>
      </c>
      <c r="T124" s="86">
        <f t="shared" si="17"/>
        <v>0</v>
      </c>
      <c r="U124" s="86">
        <f t="shared" si="16"/>
        <v>0</v>
      </c>
      <c r="V124" s="98">
        <f t="shared" si="18"/>
        <v>0</v>
      </c>
    </row>
    <row r="125" spans="1:22" ht="15" x14ac:dyDescent="0.25">
      <c r="A125" s="97">
        <f t="shared" si="19"/>
        <v>123</v>
      </c>
      <c r="B125" s="86"/>
      <c r="C125" s="86"/>
      <c r="D125" s="86"/>
      <c r="E125" s="86">
        <v>1</v>
      </c>
      <c r="F125" s="95" t="s">
        <v>83</v>
      </c>
      <c r="G125" s="86"/>
      <c r="H125" s="86">
        <v>0</v>
      </c>
      <c r="I125" s="86">
        <v>0</v>
      </c>
      <c r="J125" s="86">
        <v>0</v>
      </c>
      <c r="K125" s="86">
        <v>0</v>
      </c>
      <c r="L125" s="86">
        <v>0</v>
      </c>
      <c r="M125" s="86">
        <f>VLOOKUP(F125,'Прайс Лазер'!$L$3:$M$9,2,0)</f>
        <v>93</v>
      </c>
      <c r="N125" s="86">
        <v>25</v>
      </c>
      <c r="O125" s="94">
        <f>VLOOKUP(E125,'Прайс Лазер'!$I$4:$J$21,2,0)</f>
        <v>1.1499999999999999</v>
      </c>
      <c r="P125" s="86">
        <f>HLOOKUP('Оценка лазера'!$E125,'Прайс Лазер'!$C$26:$T$34,1+VLOOKUP(F125,'Прайс Лазер'!$A$26:$B$34,2,0),0)</f>
        <v>21.849999999999998</v>
      </c>
      <c r="Q125" s="86">
        <f t="shared" si="13"/>
        <v>0</v>
      </c>
      <c r="R125" s="86">
        <f t="shared" si="14"/>
        <v>0</v>
      </c>
      <c r="S125" s="86">
        <f t="shared" si="15"/>
        <v>0</v>
      </c>
      <c r="T125" s="86">
        <f t="shared" si="17"/>
        <v>0</v>
      </c>
      <c r="U125" s="86">
        <f t="shared" si="16"/>
        <v>0</v>
      </c>
      <c r="V125" s="98">
        <f t="shared" si="18"/>
        <v>0</v>
      </c>
    </row>
    <row r="126" spans="1:22" ht="15" x14ac:dyDescent="0.25">
      <c r="A126" s="97">
        <f t="shared" si="19"/>
        <v>124</v>
      </c>
      <c r="B126" s="86"/>
      <c r="C126" s="86"/>
      <c r="D126" s="86"/>
      <c r="E126" s="86">
        <v>1</v>
      </c>
      <c r="F126" s="95" t="s">
        <v>83</v>
      </c>
      <c r="G126" s="86"/>
      <c r="H126" s="86">
        <v>0</v>
      </c>
      <c r="I126" s="86">
        <v>0</v>
      </c>
      <c r="J126" s="86">
        <v>0</v>
      </c>
      <c r="K126" s="86">
        <v>0</v>
      </c>
      <c r="L126" s="86">
        <v>0</v>
      </c>
      <c r="M126" s="86">
        <f>VLOOKUP(F126,'Прайс Лазер'!$L$3:$M$9,2,0)</f>
        <v>93</v>
      </c>
      <c r="N126" s="86">
        <v>25</v>
      </c>
      <c r="O126" s="94">
        <f>VLOOKUP(E126,'Прайс Лазер'!$I$4:$J$21,2,0)</f>
        <v>1.1499999999999999</v>
      </c>
      <c r="P126" s="86">
        <f>HLOOKUP('Оценка лазера'!$E126,'Прайс Лазер'!$C$26:$T$34,1+VLOOKUP(F126,'Прайс Лазер'!$A$26:$B$34,2,0),0)</f>
        <v>21.849999999999998</v>
      </c>
      <c r="Q126" s="86">
        <f t="shared" si="13"/>
        <v>0</v>
      </c>
      <c r="R126" s="86">
        <f t="shared" si="14"/>
        <v>0</v>
      </c>
      <c r="S126" s="86">
        <f t="shared" si="15"/>
        <v>0</v>
      </c>
      <c r="T126" s="86">
        <f t="shared" si="17"/>
        <v>0</v>
      </c>
      <c r="U126" s="86">
        <f t="shared" si="16"/>
        <v>0</v>
      </c>
      <c r="V126" s="98">
        <f t="shared" si="18"/>
        <v>0</v>
      </c>
    </row>
    <row r="127" spans="1:22" ht="15" x14ac:dyDescent="0.25">
      <c r="A127" s="97">
        <f t="shared" si="19"/>
        <v>125</v>
      </c>
      <c r="B127" s="86"/>
      <c r="C127" s="86"/>
      <c r="D127" s="86"/>
      <c r="E127" s="86">
        <v>1</v>
      </c>
      <c r="F127" s="95" t="s">
        <v>83</v>
      </c>
      <c r="G127" s="86"/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f>VLOOKUP(F127,'Прайс Лазер'!$L$3:$M$9,2,0)</f>
        <v>93</v>
      </c>
      <c r="N127" s="86">
        <v>25</v>
      </c>
      <c r="O127" s="94">
        <f>VLOOKUP(E127,'Прайс Лазер'!$I$4:$J$21,2,0)</f>
        <v>1.1499999999999999</v>
      </c>
      <c r="P127" s="86">
        <f>HLOOKUP('Оценка лазера'!$E127,'Прайс Лазер'!$C$26:$T$34,1+VLOOKUP(F127,'Прайс Лазер'!$A$26:$B$34,2,0),0)</f>
        <v>21.849999999999998</v>
      </c>
      <c r="Q127" s="86">
        <f t="shared" si="13"/>
        <v>0</v>
      </c>
      <c r="R127" s="86">
        <f t="shared" si="14"/>
        <v>0</v>
      </c>
      <c r="S127" s="86">
        <f t="shared" si="15"/>
        <v>0</v>
      </c>
      <c r="T127" s="86">
        <f t="shared" si="17"/>
        <v>0</v>
      </c>
      <c r="U127" s="86">
        <f t="shared" si="16"/>
        <v>0</v>
      </c>
      <c r="V127" s="98">
        <f t="shared" si="18"/>
        <v>0</v>
      </c>
    </row>
    <row r="128" spans="1:22" ht="15" x14ac:dyDescent="0.25">
      <c r="A128" s="97">
        <f t="shared" si="19"/>
        <v>126</v>
      </c>
      <c r="B128" s="86"/>
      <c r="C128" s="86"/>
      <c r="D128" s="86"/>
      <c r="E128" s="86">
        <v>1</v>
      </c>
      <c r="F128" s="95" t="s">
        <v>83</v>
      </c>
      <c r="G128" s="86"/>
      <c r="H128" s="86">
        <v>0</v>
      </c>
      <c r="I128" s="86">
        <v>0</v>
      </c>
      <c r="J128" s="86">
        <v>0</v>
      </c>
      <c r="K128" s="86">
        <v>0</v>
      </c>
      <c r="L128" s="86">
        <v>0</v>
      </c>
      <c r="M128" s="86">
        <f>VLOOKUP(F128,'Прайс Лазер'!$L$3:$M$9,2,0)</f>
        <v>93</v>
      </c>
      <c r="N128" s="86">
        <v>25</v>
      </c>
      <c r="O128" s="94">
        <f>VLOOKUP(E128,'Прайс Лазер'!$I$4:$J$21,2,0)</f>
        <v>1.1499999999999999</v>
      </c>
      <c r="P128" s="86">
        <f>HLOOKUP('Оценка лазера'!$E128,'Прайс Лазер'!$C$26:$T$34,1+VLOOKUP(F128,'Прайс Лазер'!$A$26:$B$34,2,0),0)</f>
        <v>21.849999999999998</v>
      </c>
      <c r="Q128" s="86">
        <f t="shared" si="13"/>
        <v>0</v>
      </c>
      <c r="R128" s="86">
        <f t="shared" si="14"/>
        <v>0</v>
      </c>
      <c r="S128" s="86">
        <f t="shared" si="15"/>
        <v>0</v>
      </c>
      <c r="T128" s="86">
        <f t="shared" si="17"/>
        <v>0</v>
      </c>
      <c r="U128" s="86">
        <f t="shared" si="16"/>
        <v>0</v>
      </c>
      <c r="V128" s="98">
        <f t="shared" si="18"/>
        <v>0</v>
      </c>
    </row>
    <row r="129" spans="1:22" ht="15" x14ac:dyDescent="0.25">
      <c r="A129" s="97">
        <f t="shared" si="19"/>
        <v>127</v>
      </c>
      <c r="B129" s="86"/>
      <c r="C129" s="86"/>
      <c r="D129" s="86"/>
      <c r="E129" s="86">
        <v>1</v>
      </c>
      <c r="F129" s="95" t="s">
        <v>83</v>
      </c>
      <c r="G129" s="86"/>
      <c r="H129" s="86">
        <v>0</v>
      </c>
      <c r="I129" s="86">
        <v>0</v>
      </c>
      <c r="J129" s="86">
        <v>0</v>
      </c>
      <c r="K129" s="86">
        <v>0</v>
      </c>
      <c r="L129" s="86">
        <v>0</v>
      </c>
      <c r="M129" s="86">
        <f>VLOOKUP(F129,'Прайс Лазер'!$L$3:$M$9,2,0)</f>
        <v>93</v>
      </c>
      <c r="N129" s="86">
        <v>25</v>
      </c>
      <c r="O129" s="94">
        <f>VLOOKUP(E129,'Прайс Лазер'!$I$4:$J$21,2,0)</f>
        <v>1.1499999999999999</v>
      </c>
      <c r="P129" s="86">
        <f>HLOOKUP('Оценка лазера'!$E129,'Прайс Лазер'!$C$26:$T$34,1+VLOOKUP(F129,'Прайс Лазер'!$A$26:$B$34,2,0),0)</f>
        <v>21.849999999999998</v>
      </c>
      <c r="Q129" s="86">
        <f t="shared" si="13"/>
        <v>0</v>
      </c>
      <c r="R129" s="86">
        <f t="shared" si="14"/>
        <v>0</v>
      </c>
      <c r="S129" s="86">
        <f t="shared" si="15"/>
        <v>0</v>
      </c>
      <c r="T129" s="86">
        <f t="shared" si="17"/>
        <v>0</v>
      </c>
      <c r="U129" s="86">
        <f t="shared" si="16"/>
        <v>0</v>
      </c>
      <c r="V129" s="98">
        <f t="shared" si="18"/>
        <v>0</v>
      </c>
    </row>
    <row r="130" spans="1:22" ht="15" x14ac:dyDescent="0.25">
      <c r="A130" s="97">
        <f t="shared" si="19"/>
        <v>128</v>
      </c>
      <c r="B130" s="86"/>
      <c r="C130" s="86"/>
      <c r="D130" s="86"/>
      <c r="E130" s="86">
        <v>1</v>
      </c>
      <c r="F130" s="95" t="s">
        <v>83</v>
      </c>
      <c r="G130" s="86"/>
      <c r="H130" s="86">
        <v>0</v>
      </c>
      <c r="I130" s="86">
        <v>0</v>
      </c>
      <c r="J130" s="86">
        <v>0</v>
      </c>
      <c r="K130" s="86">
        <v>0</v>
      </c>
      <c r="L130" s="86">
        <v>0</v>
      </c>
      <c r="M130" s="86">
        <f>VLOOKUP(F130,'Прайс Лазер'!$L$3:$M$9,2,0)</f>
        <v>93</v>
      </c>
      <c r="N130" s="86">
        <v>25</v>
      </c>
      <c r="O130" s="94">
        <f>VLOOKUP(E130,'Прайс Лазер'!$I$4:$J$21,2,0)</f>
        <v>1.1499999999999999</v>
      </c>
      <c r="P130" s="86">
        <f>HLOOKUP('Оценка лазера'!$E130,'Прайс Лазер'!$C$26:$T$34,1+VLOOKUP(F130,'Прайс Лазер'!$A$26:$B$34,2,0),0)</f>
        <v>21.849999999999998</v>
      </c>
      <c r="Q130" s="86">
        <f t="shared" si="13"/>
        <v>0</v>
      </c>
      <c r="R130" s="86">
        <f t="shared" si="14"/>
        <v>0</v>
      </c>
      <c r="S130" s="86">
        <f t="shared" si="15"/>
        <v>0</v>
      </c>
      <c r="T130" s="86">
        <f t="shared" si="17"/>
        <v>0</v>
      </c>
      <c r="U130" s="86">
        <f t="shared" si="16"/>
        <v>0</v>
      </c>
      <c r="V130" s="98">
        <f t="shared" si="18"/>
        <v>0</v>
      </c>
    </row>
    <row r="131" spans="1:22" ht="15" x14ac:dyDescent="0.25">
      <c r="A131" s="97">
        <f t="shared" si="19"/>
        <v>129</v>
      </c>
      <c r="B131" s="86"/>
      <c r="C131" s="86"/>
      <c r="D131" s="86"/>
      <c r="E131" s="86">
        <v>1</v>
      </c>
      <c r="F131" s="95" t="s">
        <v>83</v>
      </c>
      <c r="G131" s="86"/>
      <c r="H131" s="86">
        <v>0</v>
      </c>
      <c r="I131" s="86">
        <v>0</v>
      </c>
      <c r="J131" s="86">
        <v>0</v>
      </c>
      <c r="K131" s="86">
        <v>0</v>
      </c>
      <c r="L131" s="86">
        <v>0</v>
      </c>
      <c r="M131" s="86">
        <f>VLOOKUP(F131,'Прайс Лазер'!$L$3:$M$9,2,0)</f>
        <v>93</v>
      </c>
      <c r="N131" s="86">
        <v>25</v>
      </c>
      <c r="O131" s="94">
        <f>VLOOKUP(E131,'Прайс Лазер'!$I$4:$J$21,2,0)</f>
        <v>1.1499999999999999</v>
      </c>
      <c r="P131" s="86">
        <f>HLOOKUP('Оценка лазера'!$E131,'Прайс Лазер'!$C$26:$T$34,1+VLOOKUP(F131,'Прайс Лазер'!$A$26:$B$34,2,0),0)</f>
        <v>21.849999999999998</v>
      </c>
      <c r="Q131" s="86">
        <f t="shared" ref="Q131:Q194" si="20">H131*M131</f>
        <v>0</v>
      </c>
      <c r="R131" s="86">
        <f t="shared" ref="R131:R194" si="21">I131*N131</f>
        <v>0</v>
      </c>
      <c r="S131" s="86">
        <f t="shared" ref="S131:S194" si="22">(K131+L131)/1000*1.1*P131+(J131*O131)</f>
        <v>0</v>
      </c>
      <c r="T131" s="86">
        <f t="shared" si="17"/>
        <v>0</v>
      </c>
      <c r="U131" s="86">
        <f t="shared" ref="U131:U194" si="23">D131*T131</f>
        <v>0</v>
      </c>
      <c r="V131" s="98">
        <f t="shared" si="18"/>
        <v>0</v>
      </c>
    </row>
    <row r="132" spans="1:22" ht="15" x14ac:dyDescent="0.25">
      <c r="A132" s="97">
        <f t="shared" si="19"/>
        <v>130</v>
      </c>
      <c r="B132" s="86"/>
      <c r="C132" s="86"/>
      <c r="D132" s="86"/>
      <c r="E132" s="86">
        <v>1</v>
      </c>
      <c r="F132" s="95" t="s">
        <v>83</v>
      </c>
      <c r="G132" s="86"/>
      <c r="H132" s="86">
        <v>0</v>
      </c>
      <c r="I132" s="86">
        <v>0</v>
      </c>
      <c r="J132" s="86">
        <v>0</v>
      </c>
      <c r="K132" s="86">
        <v>0</v>
      </c>
      <c r="L132" s="86">
        <v>0</v>
      </c>
      <c r="M132" s="86">
        <f>VLOOKUP(F132,'Прайс Лазер'!$L$3:$M$9,2,0)</f>
        <v>93</v>
      </c>
      <c r="N132" s="86">
        <v>25</v>
      </c>
      <c r="O132" s="94">
        <f>VLOOKUP(E132,'Прайс Лазер'!$I$4:$J$21,2,0)</f>
        <v>1.1499999999999999</v>
      </c>
      <c r="P132" s="86">
        <f>HLOOKUP('Оценка лазера'!$E132,'Прайс Лазер'!$C$26:$T$34,1+VLOOKUP(F132,'Прайс Лазер'!$A$26:$B$34,2,0),0)</f>
        <v>21.849999999999998</v>
      </c>
      <c r="Q132" s="86">
        <f t="shared" si="20"/>
        <v>0</v>
      </c>
      <c r="R132" s="86">
        <f t="shared" si="21"/>
        <v>0</v>
      </c>
      <c r="S132" s="86">
        <f t="shared" si="22"/>
        <v>0</v>
      </c>
      <c r="T132" s="86">
        <f t="shared" ref="T132:T195" si="24">Q132+R132+S132</f>
        <v>0</v>
      </c>
      <c r="U132" s="86">
        <f t="shared" si="23"/>
        <v>0</v>
      </c>
      <c r="V132" s="98">
        <f t="shared" ref="V132:V195" si="25">U132/1.2</f>
        <v>0</v>
      </c>
    </row>
    <row r="133" spans="1:22" ht="15" x14ac:dyDescent="0.25">
      <c r="A133" s="97">
        <f t="shared" ref="A133:A196" si="26">A132+1</f>
        <v>131</v>
      </c>
      <c r="B133" s="86"/>
      <c r="C133" s="86"/>
      <c r="D133" s="86"/>
      <c r="E133" s="86">
        <v>1</v>
      </c>
      <c r="F133" s="95" t="s">
        <v>83</v>
      </c>
      <c r="G133" s="86"/>
      <c r="H133" s="86">
        <v>0</v>
      </c>
      <c r="I133" s="86">
        <v>0</v>
      </c>
      <c r="J133" s="86">
        <v>0</v>
      </c>
      <c r="K133" s="86">
        <v>0</v>
      </c>
      <c r="L133" s="86">
        <v>0</v>
      </c>
      <c r="M133" s="86">
        <f>VLOOKUP(F133,'Прайс Лазер'!$L$3:$M$9,2,0)</f>
        <v>93</v>
      </c>
      <c r="N133" s="86">
        <v>25</v>
      </c>
      <c r="O133" s="94">
        <f>VLOOKUP(E133,'Прайс Лазер'!$I$4:$J$21,2,0)</f>
        <v>1.1499999999999999</v>
      </c>
      <c r="P133" s="86">
        <f>HLOOKUP('Оценка лазера'!$E133,'Прайс Лазер'!$C$26:$T$34,1+VLOOKUP(F133,'Прайс Лазер'!$A$26:$B$34,2,0),0)</f>
        <v>21.849999999999998</v>
      </c>
      <c r="Q133" s="86">
        <f t="shared" si="20"/>
        <v>0</v>
      </c>
      <c r="R133" s="86">
        <f t="shared" si="21"/>
        <v>0</v>
      </c>
      <c r="S133" s="86">
        <f t="shared" si="22"/>
        <v>0</v>
      </c>
      <c r="T133" s="86">
        <f t="shared" si="24"/>
        <v>0</v>
      </c>
      <c r="U133" s="86">
        <f t="shared" si="23"/>
        <v>0</v>
      </c>
      <c r="V133" s="98">
        <f t="shared" si="25"/>
        <v>0</v>
      </c>
    </row>
    <row r="134" spans="1:22" ht="15" x14ac:dyDescent="0.25">
      <c r="A134" s="97">
        <f t="shared" si="26"/>
        <v>132</v>
      </c>
      <c r="B134" s="86"/>
      <c r="C134" s="86"/>
      <c r="D134" s="86"/>
      <c r="E134" s="86">
        <v>1</v>
      </c>
      <c r="F134" s="95" t="s">
        <v>83</v>
      </c>
      <c r="G134" s="86"/>
      <c r="H134" s="86">
        <v>0</v>
      </c>
      <c r="I134" s="86">
        <v>0</v>
      </c>
      <c r="J134" s="86">
        <v>0</v>
      </c>
      <c r="K134" s="86">
        <v>0</v>
      </c>
      <c r="L134" s="86">
        <v>0</v>
      </c>
      <c r="M134" s="86">
        <f>VLOOKUP(F134,'Прайс Лазер'!$L$3:$M$9,2,0)</f>
        <v>93</v>
      </c>
      <c r="N134" s="86">
        <v>25</v>
      </c>
      <c r="O134" s="94">
        <f>VLOOKUP(E134,'Прайс Лазер'!$I$4:$J$21,2,0)</f>
        <v>1.1499999999999999</v>
      </c>
      <c r="P134" s="86">
        <f>HLOOKUP('Оценка лазера'!$E134,'Прайс Лазер'!$C$26:$T$34,1+VLOOKUP(F134,'Прайс Лазер'!$A$26:$B$34,2,0),0)</f>
        <v>21.849999999999998</v>
      </c>
      <c r="Q134" s="86">
        <f t="shared" si="20"/>
        <v>0</v>
      </c>
      <c r="R134" s="86">
        <f t="shared" si="21"/>
        <v>0</v>
      </c>
      <c r="S134" s="86">
        <f t="shared" si="22"/>
        <v>0</v>
      </c>
      <c r="T134" s="86">
        <f t="shared" si="24"/>
        <v>0</v>
      </c>
      <c r="U134" s="86">
        <f t="shared" si="23"/>
        <v>0</v>
      </c>
      <c r="V134" s="98">
        <f t="shared" si="25"/>
        <v>0</v>
      </c>
    </row>
    <row r="135" spans="1:22" ht="15" x14ac:dyDescent="0.25">
      <c r="A135" s="97">
        <f t="shared" si="26"/>
        <v>133</v>
      </c>
      <c r="B135" s="86"/>
      <c r="C135" s="86"/>
      <c r="D135" s="86"/>
      <c r="E135" s="86">
        <v>1</v>
      </c>
      <c r="F135" s="95" t="s">
        <v>83</v>
      </c>
      <c r="G135" s="86"/>
      <c r="H135" s="86">
        <v>0</v>
      </c>
      <c r="I135" s="86">
        <v>0</v>
      </c>
      <c r="J135" s="86">
        <v>0</v>
      </c>
      <c r="K135" s="86">
        <v>0</v>
      </c>
      <c r="L135" s="86">
        <v>0</v>
      </c>
      <c r="M135" s="86">
        <f>VLOOKUP(F135,'Прайс Лазер'!$L$3:$M$9,2,0)</f>
        <v>93</v>
      </c>
      <c r="N135" s="86">
        <v>25</v>
      </c>
      <c r="O135" s="94">
        <f>VLOOKUP(E135,'Прайс Лазер'!$I$4:$J$21,2,0)</f>
        <v>1.1499999999999999</v>
      </c>
      <c r="P135" s="86">
        <f>HLOOKUP('Оценка лазера'!$E135,'Прайс Лазер'!$C$26:$T$34,1+VLOOKUP(F135,'Прайс Лазер'!$A$26:$B$34,2,0),0)</f>
        <v>21.849999999999998</v>
      </c>
      <c r="Q135" s="86">
        <f t="shared" si="20"/>
        <v>0</v>
      </c>
      <c r="R135" s="86">
        <f t="shared" si="21"/>
        <v>0</v>
      </c>
      <c r="S135" s="86">
        <f t="shared" si="22"/>
        <v>0</v>
      </c>
      <c r="T135" s="86">
        <f t="shared" si="24"/>
        <v>0</v>
      </c>
      <c r="U135" s="86">
        <f t="shared" si="23"/>
        <v>0</v>
      </c>
      <c r="V135" s="98">
        <f t="shared" si="25"/>
        <v>0</v>
      </c>
    </row>
    <row r="136" spans="1:22" ht="15" x14ac:dyDescent="0.25">
      <c r="A136" s="97">
        <f t="shared" si="26"/>
        <v>134</v>
      </c>
      <c r="B136" s="86"/>
      <c r="C136" s="86"/>
      <c r="D136" s="86"/>
      <c r="E136" s="86">
        <v>1</v>
      </c>
      <c r="F136" s="95" t="s">
        <v>83</v>
      </c>
      <c r="G136" s="86"/>
      <c r="H136" s="86">
        <v>0</v>
      </c>
      <c r="I136" s="86">
        <v>0</v>
      </c>
      <c r="J136" s="86">
        <v>0</v>
      </c>
      <c r="K136" s="86">
        <v>0</v>
      </c>
      <c r="L136" s="86">
        <v>0</v>
      </c>
      <c r="M136" s="86">
        <f>VLOOKUP(F136,'Прайс Лазер'!$L$3:$M$9,2,0)</f>
        <v>93</v>
      </c>
      <c r="N136" s="86">
        <v>25</v>
      </c>
      <c r="O136" s="94">
        <f>VLOOKUP(E136,'Прайс Лазер'!$I$4:$J$21,2,0)</f>
        <v>1.1499999999999999</v>
      </c>
      <c r="P136" s="86">
        <f>HLOOKUP('Оценка лазера'!$E136,'Прайс Лазер'!$C$26:$T$34,1+VLOOKUP(F136,'Прайс Лазер'!$A$26:$B$34,2,0),0)</f>
        <v>21.849999999999998</v>
      </c>
      <c r="Q136" s="86">
        <f t="shared" si="20"/>
        <v>0</v>
      </c>
      <c r="R136" s="86">
        <f t="shared" si="21"/>
        <v>0</v>
      </c>
      <c r="S136" s="86">
        <f t="shared" si="22"/>
        <v>0</v>
      </c>
      <c r="T136" s="86">
        <f t="shared" si="24"/>
        <v>0</v>
      </c>
      <c r="U136" s="86">
        <f t="shared" si="23"/>
        <v>0</v>
      </c>
      <c r="V136" s="98">
        <f t="shared" si="25"/>
        <v>0</v>
      </c>
    </row>
    <row r="137" spans="1:22" ht="15" x14ac:dyDescent="0.25">
      <c r="A137" s="97">
        <f t="shared" si="26"/>
        <v>135</v>
      </c>
      <c r="B137" s="86"/>
      <c r="C137" s="86"/>
      <c r="D137" s="86"/>
      <c r="E137" s="86">
        <v>1</v>
      </c>
      <c r="F137" s="95" t="s">
        <v>83</v>
      </c>
      <c r="G137" s="86"/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f>VLOOKUP(F137,'Прайс Лазер'!$L$3:$M$9,2,0)</f>
        <v>93</v>
      </c>
      <c r="N137" s="86">
        <v>25</v>
      </c>
      <c r="O137" s="94">
        <f>VLOOKUP(E137,'Прайс Лазер'!$I$4:$J$21,2,0)</f>
        <v>1.1499999999999999</v>
      </c>
      <c r="P137" s="86">
        <f>HLOOKUP('Оценка лазера'!$E137,'Прайс Лазер'!$C$26:$T$34,1+VLOOKUP(F137,'Прайс Лазер'!$A$26:$B$34,2,0),0)</f>
        <v>21.849999999999998</v>
      </c>
      <c r="Q137" s="86">
        <f t="shared" si="20"/>
        <v>0</v>
      </c>
      <c r="R137" s="86">
        <f t="shared" si="21"/>
        <v>0</v>
      </c>
      <c r="S137" s="86">
        <f t="shared" si="22"/>
        <v>0</v>
      </c>
      <c r="T137" s="86">
        <f t="shared" si="24"/>
        <v>0</v>
      </c>
      <c r="U137" s="86">
        <f t="shared" si="23"/>
        <v>0</v>
      </c>
      <c r="V137" s="98">
        <f t="shared" si="25"/>
        <v>0</v>
      </c>
    </row>
    <row r="138" spans="1:22" ht="15" x14ac:dyDescent="0.25">
      <c r="A138" s="97">
        <f t="shared" si="26"/>
        <v>136</v>
      </c>
      <c r="B138" s="86"/>
      <c r="C138" s="86"/>
      <c r="D138" s="86"/>
      <c r="E138" s="86">
        <v>1</v>
      </c>
      <c r="F138" s="95" t="s">
        <v>83</v>
      </c>
      <c r="G138" s="86"/>
      <c r="H138" s="86">
        <v>0</v>
      </c>
      <c r="I138" s="86">
        <v>0</v>
      </c>
      <c r="J138" s="86">
        <v>0</v>
      </c>
      <c r="K138" s="86">
        <v>0</v>
      </c>
      <c r="L138" s="86">
        <v>0</v>
      </c>
      <c r="M138" s="86">
        <f>VLOOKUP(F138,'Прайс Лазер'!$L$3:$M$9,2,0)</f>
        <v>93</v>
      </c>
      <c r="N138" s="86">
        <v>25</v>
      </c>
      <c r="O138" s="94">
        <f>VLOOKUP(E138,'Прайс Лазер'!$I$4:$J$21,2,0)</f>
        <v>1.1499999999999999</v>
      </c>
      <c r="P138" s="86">
        <f>HLOOKUP('Оценка лазера'!$E138,'Прайс Лазер'!$C$26:$T$34,1+VLOOKUP(F138,'Прайс Лазер'!$A$26:$B$34,2,0),0)</f>
        <v>21.849999999999998</v>
      </c>
      <c r="Q138" s="86">
        <f t="shared" si="20"/>
        <v>0</v>
      </c>
      <c r="R138" s="86">
        <f t="shared" si="21"/>
        <v>0</v>
      </c>
      <c r="S138" s="86">
        <f t="shared" si="22"/>
        <v>0</v>
      </c>
      <c r="T138" s="86">
        <f t="shared" si="24"/>
        <v>0</v>
      </c>
      <c r="U138" s="86">
        <f t="shared" si="23"/>
        <v>0</v>
      </c>
      <c r="V138" s="98">
        <f t="shared" si="25"/>
        <v>0</v>
      </c>
    </row>
    <row r="139" spans="1:22" ht="15" x14ac:dyDescent="0.25">
      <c r="A139" s="97">
        <f t="shared" si="26"/>
        <v>137</v>
      </c>
      <c r="B139" s="86"/>
      <c r="C139" s="86"/>
      <c r="D139" s="86"/>
      <c r="E139" s="86">
        <v>1</v>
      </c>
      <c r="F139" s="95" t="s">
        <v>83</v>
      </c>
      <c r="G139" s="86"/>
      <c r="H139" s="86">
        <v>0</v>
      </c>
      <c r="I139" s="86">
        <v>0</v>
      </c>
      <c r="J139" s="86">
        <v>0</v>
      </c>
      <c r="K139" s="86">
        <v>0</v>
      </c>
      <c r="L139" s="86">
        <v>0</v>
      </c>
      <c r="M139" s="86">
        <f>VLOOKUP(F139,'Прайс Лазер'!$L$3:$M$9,2,0)</f>
        <v>93</v>
      </c>
      <c r="N139" s="86">
        <v>25</v>
      </c>
      <c r="O139" s="94">
        <f>VLOOKUP(E139,'Прайс Лазер'!$I$4:$J$21,2,0)</f>
        <v>1.1499999999999999</v>
      </c>
      <c r="P139" s="86">
        <f>HLOOKUP('Оценка лазера'!$E139,'Прайс Лазер'!$C$26:$T$34,1+VLOOKUP(F139,'Прайс Лазер'!$A$26:$B$34,2,0),0)</f>
        <v>21.849999999999998</v>
      </c>
      <c r="Q139" s="86">
        <f t="shared" si="20"/>
        <v>0</v>
      </c>
      <c r="R139" s="86">
        <f t="shared" si="21"/>
        <v>0</v>
      </c>
      <c r="S139" s="86">
        <f t="shared" si="22"/>
        <v>0</v>
      </c>
      <c r="T139" s="86">
        <f t="shared" si="24"/>
        <v>0</v>
      </c>
      <c r="U139" s="86">
        <f t="shared" si="23"/>
        <v>0</v>
      </c>
      <c r="V139" s="98">
        <f t="shared" si="25"/>
        <v>0</v>
      </c>
    </row>
    <row r="140" spans="1:22" ht="15" x14ac:dyDescent="0.25">
      <c r="A140" s="97">
        <f t="shared" si="26"/>
        <v>138</v>
      </c>
      <c r="B140" s="86"/>
      <c r="C140" s="86"/>
      <c r="D140" s="86"/>
      <c r="E140" s="86">
        <v>1</v>
      </c>
      <c r="F140" s="95" t="s">
        <v>83</v>
      </c>
      <c r="G140" s="86"/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f>VLOOKUP(F140,'Прайс Лазер'!$L$3:$M$9,2,0)</f>
        <v>93</v>
      </c>
      <c r="N140" s="86">
        <v>25</v>
      </c>
      <c r="O140" s="94">
        <f>VLOOKUP(E140,'Прайс Лазер'!$I$4:$J$21,2,0)</f>
        <v>1.1499999999999999</v>
      </c>
      <c r="P140" s="86">
        <f>HLOOKUP('Оценка лазера'!$E140,'Прайс Лазер'!$C$26:$T$34,1+VLOOKUP(F140,'Прайс Лазер'!$A$26:$B$34,2,0),0)</f>
        <v>21.849999999999998</v>
      </c>
      <c r="Q140" s="86">
        <f t="shared" si="20"/>
        <v>0</v>
      </c>
      <c r="R140" s="86">
        <f t="shared" si="21"/>
        <v>0</v>
      </c>
      <c r="S140" s="86">
        <f t="shared" si="22"/>
        <v>0</v>
      </c>
      <c r="T140" s="86">
        <f t="shared" si="24"/>
        <v>0</v>
      </c>
      <c r="U140" s="86">
        <f t="shared" si="23"/>
        <v>0</v>
      </c>
      <c r="V140" s="98">
        <f t="shared" si="25"/>
        <v>0</v>
      </c>
    </row>
    <row r="141" spans="1:22" ht="15" x14ac:dyDescent="0.25">
      <c r="A141" s="97">
        <f t="shared" si="26"/>
        <v>139</v>
      </c>
      <c r="B141" s="86"/>
      <c r="C141" s="86"/>
      <c r="D141" s="86"/>
      <c r="E141" s="86">
        <v>1</v>
      </c>
      <c r="F141" s="95" t="s">
        <v>83</v>
      </c>
      <c r="G141" s="86"/>
      <c r="H141" s="86">
        <v>0</v>
      </c>
      <c r="I141" s="86">
        <v>0</v>
      </c>
      <c r="J141" s="86">
        <v>0</v>
      </c>
      <c r="K141" s="86">
        <v>0</v>
      </c>
      <c r="L141" s="86">
        <v>0</v>
      </c>
      <c r="M141" s="86">
        <f>VLOOKUP(F141,'Прайс Лазер'!$L$3:$M$9,2,0)</f>
        <v>93</v>
      </c>
      <c r="N141" s="86">
        <v>25</v>
      </c>
      <c r="O141" s="94">
        <f>VLOOKUP(E141,'Прайс Лазер'!$I$4:$J$21,2,0)</f>
        <v>1.1499999999999999</v>
      </c>
      <c r="P141" s="86">
        <f>HLOOKUP('Оценка лазера'!$E141,'Прайс Лазер'!$C$26:$T$34,1+VLOOKUP(F141,'Прайс Лазер'!$A$26:$B$34,2,0),0)</f>
        <v>21.849999999999998</v>
      </c>
      <c r="Q141" s="86">
        <f t="shared" si="20"/>
        <v>0</v>
      </c>
      <c r="R141" s="86">
        <f t="shared" si="21"/>
        <v>0</v>
      </c>
      <c r="S141" s="86">
        <f t="shared" si="22"/>
        <v>0</v>
      </c>
      <c r="T141" s="86">
        <f t="shared" si="24"/>
        <v>0</v>
      </c>
      <c r="U141" s="86">
        <f t="shared" si="23"/>
        <v>0</v>
      </c>
      <c r="V141" s="98">
        <f t="shared" si="25"/>
        <v>0</v>
      </c>
    </row>
    <row r="142" spans="1:22" ht="15" x14ac:dyDescent="0.25">
      <c r="A142" s="97">
        <f t="shared" si="26"/>
        <v>140</v>
      </c>
      <c r="B142" s="86"/>
      <c r="C142" s="86"/>
      <c r="D142" s="86"/>
      <c r="E142" s="86">
        <v>1</v>
      </c>
      <c r="F142" s="95" t="s">
        <v>83</v>
      </c>
      <c r="G142" s="86"/>
      <c r="H142" s="86">
        <v>0</v>
      </c>
      <c r="I142" s="86">
        <v>0</v>
      </c>
      <c r="J142" s="86">
        <v>0</v>
      </c>
      <c r="K142" s="86">
        <v>0</v>
      </c>
      <c r="L142" s="86">
        <v>0</v>
      </c>
      <c r="M142" s="86">
        <f>VLOOKUP(F142,'Прайс Лазер'!$L$3:$M$9,2,0)</f>
        <v>93</v>
      </c>
      <c r="N142" s="86">
        <v>25</v>
      </c>
      <c r="O142" s="94">
        <f>VLOOKUP(E142,'Прайс Лазер'!$I$4:$J$21,2,0)</f>
        <v>1.1499999999999999</v>
      </c>
      <c r="P142" s="86">
        <f>HLOOKUP('Оценка лазера'!$E142,'Прайс Лазер'!$C$26:$T$34,1+VLOOKUP(F142,'Прайс Лазер'!$A$26:$B$34,2,0),0)</f>
        <v>21.849999999999998</v>
      </c>
      <c r="Q142" s="86">
        <f t="shared" si="20"/>
        <v>0</v>
      </c>
      <c r="R142" s="86">
        <f t="shared" si="21"/>
        <v>0</v>
      </c>
      <c r="S142" s="86">
        <f t="shared" si="22"/>
        <v>0</v>
      </c>
      <c r="T142" s="86">
        <f t="shared" si="24"/>
        <v>0</v>
      </c>
      <c r="U142" s="86">
        <f t="shared" si="23"/>
        <v>0</v>
      </c>
      <c r="V142" s="98">
        <f t="shared" si="25"/>
        <v>0</v>
      </c>
    </row>
    <row r="143" spans="1:22" ht="15" x14ac:dyDescent="0.25">
      <c r="A143" s="97">
        <f t="shared" si="26"/>
        <v>141</v>
      </c>
      <c r="B143" s="86"/>
      <c r="C143" s="86"/>
      <c r="D143" s="86"/>
      <c r="E143" s="86">
        <v>1</v>
      </c>
      <c r="F143" s="95" t="s">
        <v>83</v>
      </c>
      <c r="G143" s="86"/>
      <c r="H143" s="86">
        <v>0</v>
      </c>
      <c r="I143" s="86">
        <v>0</v>
      </c>
      <c r="J143" s="86">
        <v>0</v>
      </c>
      <c r="K143" s="86">
        <v>0</v>
      </c>
      <c r="L143" s="86">
        <v>0</v>
      </c>
      <c r="M143" s="86">
        <f>VLOOKUP(F143,'Прайс Лазер'!$L$3:$M$9,2,0)</f>
        <v>93</v>
      </c>
      <c r="N143" s="86">
        <v>25</v>
      </c>
      <c r="O143" s="94">
        <f>VLOOKUP(E143,'Прайс Лазер'!$I$4:$J$21,2,0)</f>
        <v>1.1499999999999999</v>
      </c>
      <c r="P143" s="86">
        <f>HLOOKUP('Оценка лазера'!$E143,'Прайс Лазер'!$C$26:$T$34,1+VLOOKUP(F143,'Прайс Лазер'!$A$26:$B$34,2,0),0)</f>
        <v>21.849999999999998</v>
      </c>
      <c r="Q143" s="86">
        <f t="shared" si="20"/>
        <v>0</v>
      </c>
      <c r="R143" s="86">
        <f t="shared" si="21"/>
        <v>0</v>
      </c>
      <c r="S143" s="86">
        <f t="shared" si="22"/>
        <v>0</v>
      </c>
      <c r="T143" s="86">
        <f t="shared" si="24"/>
        <v>0</v>
      </c>
      <c r="U143" s="86">
        <f t="shared" si="23"/>
        <v>0</v>
      </c>
      <c r="V143" s="98">
        <f t="shared" si="25"/>
        <v>0</v>
      </c>
    </row>
    <row r="144" spans="1:22" ht="15" x14ac:dyDescent="0.25">
      <c r="A144" s="97">
        <f t="shared" si="26"/>
        <v>142</v>
      </c>
      <c r="B144" s="86"/>
      <c r="C144" s="86"/>
      <c r="D144" s="86"/>
      <c r="E144" s="86">
        <v>1</v>
      </c>
      <c r="F144" s="95" t="s">
        <v>83</v>
      </c>
      <c r="G144" s="86"/>
      <c r="H144" s="86">
        <v>0</v>
      </c>
      <c r="I144" s="86">
        <v>0</v>
      </c>
      <c r="J144" s="86">
        <v>0</v>
      </c>
      <c r="K144" s="86">
        <v>0</v>
      </c>
      <c r="L144" s="86">
        <v>0</v>
      </c>
      <c r="M144" s="86">
        <f>VLOOKUP(F144,'Прайс Лазер'!$L$3:$M$9,2,0)</f>
        <v>93</v>
      </c>
      <c r="N144" s="86">
        <v>25</v>
      </c>
      <c r="O144" s="94">
        <f>VLOOKUP(E144,'Прайс Лазер'!$I$4:$J$21,2,0)</f>
        <v>1.1499999999999999</v>
      </c>
      <c r="P144" s="86">
        <f>HLOOKUP('Оценка лазера'!$E144,'Прайс Лазер'!$C$26:$T$34,1+VLOOKUP(F144,'Прайс Лазер'!$A$26:$B$34,2,0),0)</f>
        <v>21.849999999999998</v>
      </c>
      <c r="Q144" s="86">
        <f t="shared" si="20"/>
        <v>0</v>
      </c>
      <c r="R144" s="86">
        <f t="shared" si="21"/>
        <v>0</v>
      </c>
      <c r="S144" s="86">
        <f t="shared" si="22"/>
        <v>0</v>
      </c>
      <c r="T144" s="86">
        <f t="shared" si="24"/>
        <v>0</v>
      </c>
      <c r="U144" s="86">
        <f t="shared" si="23"/>
        <v>0</v>
      </c>
      <c r="V144" s="98">
        <f t="shared" si="25"/>
        <v>0</v>
      </c>
    </row>
    <row r="145" spans="1:22" ht="15" x14ac:dyDescent="0.25">
      <c r="A145" s="97">
        <f t="shared" si="26"/>
        <v>143</v>
      </c>
      <c r="B145" s="86"/>
      <c r="C145" s="86"/>
      <c r="D145" s="86"/>
      <c r="E145" s="86">
        <v>1</v>
      </c>
      <c r="F145" s="95" t="s">
        <v>83</v>
      </c>
      <c r="G145" s="86"/>
      <c r="H145" s="86">
        <v>0</v>
      </c>
      <c r="I145" s="86">
        <v>0</v>
      </c>
      <c r="J145" s="86">
        <v>0</v>
      </c>
      <c r="K145" s="86">
        <v>0</v>
      </c>
      <c r="L145" s="86">
        <v>0</v>
      </c>
      <c r="M145" s="86">
        <f>VLOOKUP(F145,'Прайс Лазер'!$L$3:$M$9,2,0)</f>
        <v>93</v>
      </c>
      <c r="N145" s="86">
        <v>25</v>
      </c>
      <c r="O145" s="94">
        <f>VLOOKUP(E145,'Прайс Лазер'!$I$4:$J$21,2,0)</f>
        <v>1.1499999999999999</v>
      </c>
      <c r="P145" s="86">
        <f>HLOOKUP('Оценка лазера'!$E145,'Прайс Лазер'!$C$26:$T$34,1+VLOOKUP(F145,'Прайс Лазер'!$A$26:$B$34,2,0),0)</f>
        <v>21.849999999999998</v>
      </c>
      <c r="Q145" s="86">
        <f t="shared" si="20"/>
        <v>0</v>
      </c>
      <c r="R145" s="86">
        <f t="shared" si="21"/>
        <v>0</v>
      </c>
      <c r="S145" s="86">
        <f t="shared" si="22"/>
        <v>0</v>
      </c>
      <c r="T145" s="86">
        <f t="shared" si="24"/>
        <v>0</v>
      </c>
      <c r="U145" s="86">
        <f t="shared" si="23"/>
        <v>0</v>
      </c>
      <c r="V145" s="98">
        <f t="shared" si="25"/>
        <v>0</v>
      </c>
    </row>
    <row r="146" spans="1:22" ht="15" x14ac:dyDescent="0.25">
      <c r="A146" s="97">
        <f t="shared" si="26"/>
        <v>144</v>
      </c>
      <c r="B146" s="86"/>
      <c r="C146" s="86"/>
      <c r="D146" s="86"/>
      <c r="E146" s="86">
        <v>1</v>
      </c>
      <c r="F146" s="95" t="s">
        <v>83</v>
      </c>
      <c r="G146" s="86"/>
      <c r="H146" s="86">
        <v>0</v>
      </c>
      <c r="I146" s="86">
        <v>0</v>
      </c>
      <c r="J146" s="86">
        <v>0</v>
      </c>
      <c r="K146" s="86">
        <v>0</v>
      </c>
      <c r="L146" s="86">
        <v>0</v>
      </c>
      <c r="M146" s="86">
        <f>VLOOKUP(F146,'Прайс Лазер'!$L$3:$M$9,2,0)</f>
        <v>93</v>
      </c>
      <c r="N146" s="86">
        <v>25</v>
      </c>
      <c r="O146" s="94">
        <f>VLOOKUP(E146,'Прайс Лазер'!$I$4:$J$21,2,0)</f>
        <v>1.1499999999999999</v>
      </c>
      <c r="P146" s="86">
        <f>HLOOKUP('Оценка лазера'!$E146,'Прайс Лазер'!$C$26:$T$34,1+VLOOKUP(F146,'Прайс Лазер'!$A$26:$B$34,2,0),0)</f>
        <v>21.849999999999998</v>
      </c>
      <c r="Q146" s="86">
        <f t="shared" si="20"/>
        <v>0</v>
      </c>
      <c r="R146" s="86">
        <f t="shared" si="21"/>
        <v>0</v>
      </c>
      <c r="S146" s="86">
        <f t="shared" si="22"/>
        <v>0</v>
      </c>
      <c r="T146" s="86">
        <f t="shared" si="24"/>
        <v>0</v>
      </c>
      <c r="U146" s="86">
        <f t="shared" si="23"/>
        <v>0</v>
      </c>
      <c r="V146" s="98">
        <f t="shared" si="25"/>
        <v>0</v>
      </c>
    </row>
    <row r="147" spans="1:22" ht="15" x14ac:dyDescent="0.25">
      <c r="A147" s="97">
        <f t="shared" si="26"/>
        <v>145</v>
      </c>
      <c r="B147" s="86"/>
      <c r="C147" s="86"/>
      <c r="D147" s="86"/>
      <c r="E147" s="86">
        <v>1</v>
      </c>
      <c r="F147" s="95" t="s">
        <v>83</v>
      </c>
      <c r="G147" s="86"/>
      <c r="H147" s="86">
        <v>0</v>
      </c>
      <c r="I147" s="86">
        <v>0</v>
      </c>
      <c r="J147" s="86">
        <v>0</v>
      </c>
      <c r="K147" s="86">
        <v>0</v>
      </c>
      <c r="L147" s="86">
        <v>0</v>
      </c>
      <c r="M147" s="86">
        <f>VLOOKUP(F147,'Прайс Лазер'!$L$3:$M$9,2,0)</f>
        <v>93</v>
      </c>
      <c r="N147" s="86">
        <v>25</v>
      </c>
      <c r="O147" s="94">
        <f>VLOOKUP(E147,'Прайс Лазер'!$I$4:$J$21,2,0)</f>
        <v>1.1499999999999999</v>
      </c>
      <c r="P147" s="86">
        <f>HLOOKUP('Оценка лазера'!$E147,'Прайс Лазер'!$C$26:$T$34,1+VLOOKUP(F147,'Прайс Лазер'!$A$26:$B$34,2,0),0)</f>
        <v>21.849999999999998</v>
      </c>
      <c r="Q147" s="86">
        <f t="shared" si="20"/>
        <v>0</v>
      </c>
      <c r="R147" s="86">
        <f t="shared" si="21"/>
        <v>0</v>
      </c>
      <c r="S147" s="86">
        <f t="shared" si="22"/>
        <v>0</v>
      </c>
      <c r="T147" s="86">
        <f t="shared" si="24"/>
        <v>0</v>
      </c>
      <c r="U147" s="86">
        <f t="shared" si="23"/>
        <v>0</v>
      </c>
      <c r="V147" s="98">
        <f t="shared" si="25"/>
        <v>0</v>
      </c>
    </row>
    <row r="148" spans="1:22" ht="15" x14ac:dyDescent="0.25">
      <c r="A148" s="97">
        <f t="shared" si="26"/>
        <v>146</v>
      </c>
      <c r="B148" s="86"/>
      <c r="C148" s="86"/>
      <c r="D148" s="86"/>
      <c r="E148" s="86">
        <v>1</v>
      </c>
      <c r="F148" s="95" t="s">
        <v>83</v>
      </c>
      <c r="G148" s="86"/>
      <c r="H148" s="86">
        <v>0</v>
      </c>
      <c r="I148" s="86">
        <v>0</v>
      </c>
      <c r="J148" s="86">
        <v>0</v>
      </c>
      <c r="K148" s="86">
        <v>0</v>
      </c>
      <c r="L148" s="86">
        <v>0</v>
      </c>
      <c r="M148" s="86">
        <f>VLOOKUP(F148,'Прайс Лазер'!$L$3:$M$9,2,0)</f>
        <v>93</v>
      </c>
      <c r="N148" s="86">
        <v>25</v>
      </c>
      <c r="O148" s="94">
        <f>VLOOKUP(E148,'Прайс Лазер'!$I$4:$J$21,2,0)</f>
        <v>1.1499999999999999</v>
      </c>
      <c r="P148" s="86">
        <f>HLOOKUP('Оценка лазера'!$E148,'Прайс Лазер'!$C$26:$T$34,1+VLOOKUP(F148,'Прайс Лазер'!$A$26:$B$34,2,0),0)</f>
        <v>21.849999999999998</v>
      </c>
      <c r="Q148" s="86">
        <f t="shared" si="20"/>
        <v>0</v>
      </c>
      <c r="R148" s="86">
        <f t="shared" si="21"/>
        <v>0</v>
      </c>
      <c r="S148" s="86">
        <f t="shared" si="22"/>
        <v>0</v>
      </c>
      <c r="T148" s="86">
        <f t="shared" si="24"/>
        <v>0</v>
      </c>
      <c r="U148" s="86">
        <f t="shared" si="23"/>
        <v>0</v>
      </c>
      <c r="V148" s="98">
        <f t="shared" si="25"/>
        <v>0</v>
      </c>
    </row>
    <row r="149" spans="1:22" ht="15" x14ac:dyDescent="0.25">
      <c r="A149" s="97">
        <f t="shared" si="26"/>
        <v>147</v>
      </c>
      <c r="B149" s="86"/>
      <c r="C149" s="86"/>
      <c r="D149" s="86"/>
      <c r="E149" s="86">
        <v>1</v>
      </c>
      <c r="F149" s="95" t="s">
        <v>83</v>
      </c>
      <c r="G149" s="86"/>
      <c r="H149" s="86">
        <v>0</v>
      </c>
      <c r="I149" s="86">
        <v>0</v>
      </c>
      <c r="J149" s="86">
        <v>0</v>
      </c>
      <c r="K149" s="86">
        <v>0</v>
      </c>
      <c r="L149" s="86">
        <v>0</v>
      </c>
      <c r="M149" s="86">
        <f>VLOOKUP(F149,'Прайс Лазер'!$L$3:$M$9,2,0)</f>
        <v>93</v>
      </c>
      <c r="N149" s="86">
        <v>25</v>
      </c>
      <c r="O149" s="94">
        <f>VLOOKUP(E149,'Прайс Лазер'!$I$4:$J$21,2,0)</f>
        <v>1.1499999999999999</v>
      </c>
      <c r="P149" s="86">
        <f>HLOOKUP('Оценка лазера'!$E149,'Прайс Лазер'!$C$26:$T$34,1+VLOOKUP(F149,'Прайс Лазер'!$A$26:$B$34,2,0),0)</f>
        <v>21.849999999999998</v>
      </c>
      <c r="Q149" s="86">
        <f t="shared" si="20"/>
        <v>0</v>
      </c>
      <c r="R149" s="86">
        <f t="shared" si="21"/>
        <v>0</v>
      </c>
      <c r="S149" s="86">
        <f t="shared" si="22"/>
        <v>0</v>
      </c>
      <c r="T149" s="86">
        <f t="shared" si="24"/>
        <v>0</v>
      </c>
      <c r="U149" s="86">
        <f t="shared" si="23"/>
        <v>0</v>
      </c>
      <c r="V149" s="98">
        <f t="shared" si="25"/>
        <v>0</v>
      </c>
    </row>
    <row r="150" spans="1:22" ht="15" x14ac:dyDescent="0.25">
      <c r="A150" s="97">
        <f t="shared" si="26"/>
        <v>148</v>
      </c>
      <c r="B150" s="86"/>
      <c r="C150" s="86"/>
      <c r="D150" s="86"/>
      <c r="E150" s="86">
        <v>1</v>
      </c>
      <c r="F150" s="95" t="s">
        <v>83</v>
      </c>
      <c r="G150" s="86"/>
      <c r="H150" s="86">
        <v>0</v>
      </c>
      <c r="I150" s="86">
        <v>0</v>
      </c>
      <c r="J150" s="86">
        <v>0</v>
      </c>
      <c r="K150" s="86">
        <v>0</v>
      </c>
      <c r="L150" s="86">
        <v>0</v>
      </c>
      <c r="M150" s="86">
        <f>VLOOKUP(F150,'Прайс Лазер'!$L$3:$M$9,2,0)</f>
        <v>93</v>
      </c>
      <c r="N150" s="86">
        <v>25</v>
      </c>
      <c r="O150" s="94">
        <f>VLOOKUP(E150,'Прайс Лазер'!$I$4:$J$21,2,0)</f>
        <v>1.1499999999999999</v>
      </c>
      <c r="P150" s="86">
        <f>HLOOKUP('Оценка лазера'!$E150,'Прайс Лазер'!$C$26:$T$34,1+VLOOKUP(F150,'Прайс Лазер'!$A$26:$B$34,2,0),0)</f>
        <v>21.849999999999998</v>
      </c>
      <c r="Q150" s="86">
        <f t="shared" si="20"/>
        <v>0</v>
      </c>
      <c r="R150" s="86">
        <f t="shared" si="21"/>
        <v>0</v>
      </c>
      <c r="S150" s="86">
        <f t="shared" si="22"/>
        <v>0</v>
      </c>
      <c r="T150" s="86">
        <f t="shared" si="24"/>
        <v>0</v>
      </c>
      <c r="U150" s="86">
        <f t="shared" si="23"/>
        <v>0</v>
      </c>
      <c r="V150" s="98">
        <f t="shared" si="25"/>
        <v>0</v>
      </c>
    </row>
    <row r="151" spans="1:22" ht="15" x14ac:dyDescent="0.25">
      <c r="A151" s="97">
        <f t="shared" si="26"/>
        <v>149</v>
      </c>
      <c r="B151" s="86"/>
      <c r="C151" s="86"/>
      <c r="D151" s="86"/>
      <c r="E151" s="86">
        <v>1</v>
      </c>
      <c r="F151" s="95" t="s">
        <v>83</v>
      </c>
      <c r="G151" s="86"/>
      <c r="H151" s="86">
        <v>0</v>
      </c>
      <c r="I151" s="86">
        <v>0</v>
      </c>
      <c r="J151" s="86">
        <v>0</v>
      </c>
      <c r="K151" s="86">
        <v>0</v>
      </c>
      <c r="L151" s="86">
        <v>0</v>
      </c>
      <c r="M151" s="86">
        <f>VLOOKUP(F151,'Прайс Лазер'!$L$3:$M$9,2,0)</f>
        <v>93</v>
      </c>
      <c r="N151" s="86">
        <v>25</v>
      </c>
      <c r="O151" s="94">
        <f>VLOOKUP(E151,'Прайс Лазер'!$I$4:$J$21,2,0)</f>
        <v>1.1499999999999999</v>
      </c>
      <c r="P151" s="86">
        <f>HLOOKUP('Оценка лазера'!$E151,'Прайс Лазер'!$C$26:$T$34,1+VLOOKUP(F151,'Прайс Лазер'!$A$26:$B$34,2,0),0)</f>
        <v>21.849999999999998</v>
      </c>
      <c r="Q151" s="86">
        <f t="shared" si="20"/>
        <v>0</v>
      </c>
      <c r="R151" s="86">
        <f t="shared" si="21"/>
        <v>0</v>
      </c>
      <c r="S151" s="86">
        <f t="shared" si="22"/>
        <v>0</v>
      </c>
      <c r="T151" s="86">
        <f t="shared" si="24"/>
        <v>0</v>
      </c>
      <c r="U151" s="86">
        <f t="shared" si="23"/>
        <v>0</v>
      </c>
      <c r="V151" s="98">
        <f t="shared" si="25"/>
        <v>0</v>
      </c>
    </row>
    <row r="152" spans="1:22" ht="15" x14ac:dyDescent="0.25">
      <c r="A152" s="97">
        <f t="shared" si="26"/>
        <v>150</v>
      </c>
      <c r="B152" s="86"/>
      <c r="C152" s="86"/>
      <c r="D152" s="86"/>
      <c r="E152" s="86">
        <v>1</v>
      </c>
      <c r="F152" s="95" t="s">
        <v>83</v>
      </c>
      <c r="G152" s="86"/>
      <c r="H152" s="86">
        <v>0</v>
      </c>
      <c r="I152" s="86">
        <v>0</v>
      </c>
      <c r="J152" s="86">
        <v>0</v>
      </c>
      <c r="K152" s="86">
        <v>0</v>
      </c>
      <c r="L152" s="86">
        <v>0</v>
      </c>
      <c r="M152" s="86">
        <f>VLOOKUP(F152,'Прайс Лазер'!$L$3:$M$9,2,0)</f>
        <v>93</v>
      </c>
      <c r="N152" s="86">
        <v>25</v>
      </c>
      <c r="O152" s="94">
        <f>VLOOKUP(E152,'Прайс Лазер'!$I$4:$J$21,2,0)</f>
        <v>1.1499999999999999</v>
      </c>
      <c r="P152" s="86">
        <f>HLOOKUP('Оценка лазера'!$E152,'Прайс Лазер'!$C$26:$T$34,1+VLOOKUP(F152,'Прайс Лазер'!$A$26:$B$34,2,0),0)</f>
        <v>21.849999999999998</v>
      </c>
      <c r="Q152" s="86">
        <f t="shared" si="20"/>
        <v>0</v>
      </c>
      <c r="R152" s="86">
        <f t="shared" si="21"/>
        <v>0</v>
      </c>
      <c r="S152" s="86">
        <f t="shared" si="22"/>
        <v>0</v>
      </c>
      <c r="T152" s="86">
        <f t="shared" si="24"/>
        <v>0</v>
      </c>
      <c r="U152" s="86">
        <f t="shared" si="23"/>
        <v>0</v>
      </c>
      <c r="V152" s="98">
        <f t="shared" si="25"/>
        <v>0</v>
      </c>
    </row>
    <row r="153" spans="1:22" ht="15" x14ac:dyDescent="0.25">
      <c r="A153" s="97">
        <f t="shared" si="26"/>
        <v>151</v>
      </c>
      <c r="B153" s="86"/>
      <c r="C153" s="86"/>
      <c r="D153" s="86"/>
      <c r="E153" s="86">
        <v>1</v>
      </c>
      <c r="F153" s="95" t="s">
        <v>83</v>
      </c>
      <c r="G153" s="86"/>
      <c r="H153" s="86">
        <v>0</v>
      </c>
      <c r="I153" s="86">
        <v>0</v>
      </c>
      <c r="J153" s="86">
        <v>0</v>
      </c>
      <c r="K153" s="86">
        <v>0</v>
      </c>
      <c r="L153" s="86">
        <v>0</v>
      </c>
      <c r="M153" s="86">
        <f>VLOOKUP(F153,'Прайс Лазер'!$L$3:$M$9,2,0)</f>
        <v>93</v>
      </c>
      <c r="N153" s="86">
        <v>25</v>
      </c>
      <c r="O153" s="94">
        <f>VLOOKUP(E153,'Прайс Лазер'!$I$4:$J$21,2,0)</f>
        <v>1.1499999999999999</v>
      </c>
      <c r="P153" s="86">
        <f>HLOOKUP('Оценка лазера'!$E153,'Прайс Лазер'!$C$26:$T$34,1+VLOOKUP(F153,'Прайс Лазер'!$A$26:$B$34,2,0),0)</f>
        <v>21.849999999999998</v>
      </c>
      <c r="Q153" s="86">
        <f t="shared" si="20"/>
        <v>0</v>
      </c>
      <c r="R153" s="86">
        <f t="shared" si="21"/>
        <v>0</v>
      </c>
      <c r="S153" s="86">
        <f t="shared" si="22"/>
        <v>0</v>
      </c>
      <c r="T153" s="86">
        <f t="shared" si="24"/>
        <v>0</v>
      </c>
      <c r="U153" s="86">
        <f t="shared" si="23"/>
        <v>0</v>
      </c>
      <c r="V153" s="98">
        <f t="shared" si="25"/>
        <v>0</v>
      </c>
    </row>
    <row r="154" spans="1:22" ht="15" x14ac:dyDescent="0.25">
      <c r="A154" s="97">
        <f t="shared" si="26"/>
        <v>152</v>
      </c>
      <c r="B154" s="86"/>
      <c r="C154" s="86"/>
      <c r="D154" s="86"/>
      <c r="E154" s="86">
        <v>1</v>
      </c>
      <c r="F154" s="95" t="s">
        <v>83</v>
      </c>
      <c r="G154" s="86"/>
      <c r="H154" s="86">
        <v>0</v>
      </c>
      <c r="I154" s="86">
        <v>0</v>
      </c>
      <c r="J154" s="86">
        <v>0</v>
      </c>
      <c r="K154" s="86">
        <v>0</v>
      </c>
      <c r="L154" s="86">
        <v>0</v>
      </c>
      <c r="M154" s="86">
        <f>VLOOKUP(F154,'Прайс Лазер'!$L$3:$M$9,2,0)</f>
        <v>93</v>
      </c>
      <c r="N154" s="86">
        <v>25</v>
      </c>
      <c r="O154" s="94">
        <f>VLOOKUP(E154,'Прайс Лазер'!$I$4:$J$21,2,0)</f>
        <v>1.1499999999999999</v>
      </c>
      <c r="P154" s="86">
        <f>HLOOKUP('Оценка лазера'!$E154,'Прайс Лазер'!$C$26:$T$34,1+VLOOKUP(F154,'Прайс Лазер'!$A$26:$B$34,2,0),0)</f>
        <v>21.849999999999998</v>
      </c>
      <c r="Q154" s="86">
        <f t="shared" si="20"/>
        <v>0</v>
      </c>
      <c r="R154" s="86">
        <f t="shared" si="21"/>
        <v>0</v>
      </c>
      <c r="S154" s="86">
        <f t="shared" si="22"/>
        <v>0</v>
      </c>
      <c r="T154" s="86">
        <f t="shared" si="24"/>
        <v>0</v>
      </c>
      <c r="U154" s="86">
        <f t="shared" si="23"/>
        <v>0</v>
      </c>
      <c r="V154" s="98">
        <f t="shared" si="25"/>
        <v>0</v>
      </c>
    </row>
    <row r="155" spans="1:22" ht="15" x14ac:dyDescent="0.25">
      <c r="A155" s="97">
        <f t="shared" si="26"/>
        <v>153</v>
      </c>
      <c r="B155" s="86"/>
      <c r="C155" s="86"/>
      <c r="D155" s="86"/>
      <c r="E155" s="86">
        <v>1</v>
      </c>
      <c r="F155" s="95" t="s">
        <v>83</v>
      </c>
      <c r="G155" s="86"/>
      <c r="H155" s="86">
        <v>0</v>
      </c>
      <c r="I155" s="86">
        <v>0</v>
      </c>
      <c r="J155" s="86">
        <v>0</v>
      </c>
      <c r="K155" s="86">
        <v>0</v>
      </c>
      <c r="L155" s="86">
        <v>0</v>
      </c>
      <c r="M155" s="86">
        <f>VLOOKUP(F155,'Прайс Лазер'!$L$3:$M$9,2,0)</f>
        <v>93</v>
      </c>
      <c r="N155" s="86">
        <v>25</v>
      </c>
      <c r="O155" s="94">
        <f>VLOOKUP(E155,'Прайс Лазер'!$I$4:$J$21,2,0)</f>
        <v>1.1499999999999999</v>
      </c>
      <c r="P155" s="86">
        <f>HLOOKUP('Оценка лазера'!$E155,'Прайс Лазер'!$C$26:$T$34,1+VLOOKUP(F155,'Прайс Лазер'!$A$26:$B$34,2,0),0)</f>
        <v>21.849999999999998</v>
      </c>
      <c r="Q155" s="86">
        <f t="shared" si="20"/>
        <v>0</v>
      </c>
      <c r="R155" s="86">
        <f t="shared" si="21"/>
        <v>0</v>
      </c>
      <c r="S155" s="86">
        <f t="shared" si="22"/>
        <v>0</v>
      </c>
      <c r="T155" s="86">
        <f t="shared" si="24"/>
        <v>0</v>
      </c>
      <c r="U155" s="86">
        <f t="shared" si="23"/>
        <v>0</v>
      </c>
      <c r="V155" s="98">
        <f t="shared" si="25"/>
        <v>0</v>
      </c>
    </row>
    <row r="156" spans="1:22" ht="15" x14ac:dyDescent="0.25">
      <c r="A156" s="97">
        <f t="shared" si="26"/>
        <v>154</v>
      </c>
      <c r="B156" s="86"/>
      <c r="C156" s="86"/>
      <c r="D156" s="86"/>
      <c r="E156" s="86">
        <v>1</v>
      </c>
      <c r="F156" s="95" t="s">
        <v>83</v>
      </c>
      <c r="G156" s="86"/>
      <c r="H156" s="86">
        <v>0</v>
      </c>
      <c r="I156" s="86">
        <v>0</v>
      </c>
      <c r="J156" s="86">
        <v>0</v>
      </c>
      <c r="K156" s="86">
        <v>0</v>
      </c>
      <c r="L156" s="86">
        <v>0</v>
      </c>
      <c r="M156" s="86">
        <f>VLOOKUP(F156,'Прайс Лазер'!$L$3:$M$9,2,0)</f>
        <v>93</v>
      </c>
      <c r="N156" s="86">
        <v>25</v>
      </c>
      <c r="O156" s="94">
        <f>VLOOKUP(E156,'Прайс Лазер'!$I$4:$J$21,2,0)</f>
        <v>1.1499999999999999</v>
      </c>
      <c r="P156" s="86">
        <f>HLOOKUP('Оценка лазера'!$E156,'Прайс Лазер'!$C$26:$T$34,1+VLOOKUP(F156,'Прайс Лазер'!$A$26:$B$34,2,0),0)</f>
        <v>21.849999999999998</v>
      </c>
      <c r="Q156" s="86">
        <f t="shared" si="20"/>
        <v>0</v>
      </c>
      <c r="R156" s="86">
        <f t="shared" si="21"/>
        <v>0</v>
      </c>
      <c r="S156" s="86">
        <f t="shared" si="22"/>
        <v>0</v>
      </c>
      <c r="T156" s="86">
        <f t="shared" si="24"/>
        <v>0</v>
      </c>
      <c r="U156" s="86">
        <f t="shared" si="23"/>
        <v>0</v>
      </c>
      <c r="V156" s="98">
        <f t="shared" si="25"/>
        <v>0</v>
      </c>
    </row>
    <row r="157" spans="1:22" ht="15" x14ac:dyDescent="0.25">
      <c r="A157" s="97">
        <f t="shared" si="26"/>
        <v>155</v>
      </c>
      <c r="B157" s="86"/>
      <c r="C157" s="86"/>
      <c r="D157" s="86"/>
      <c r="E157" s="86">
        <v>1</v>
      </c>
      <c r="F157" s="95" t="s">
        <v>83</v>
      </c>
      <c r="G157" s="86"/>
      <c r="H157" s="86">
        <v>0</v>
      </c>
      <c r="I157" s="86">
        <v>0</v>
      </c>
      <c r="J157" s="86">
        <v>0</v>
      </c>
      <c r="K157" s="86">
        <v>0</v>
      </c>
      <c r="L157" s="86">
        <v>0</v>
      </c>
      <c r="M157" s="86">
        <f>VLOOKUP(F157,'Прайс Лазер'!$L$3:$M$9,2,0)</f>
        <v>93</v>
      </c>
      <c r="N157" s="86">
        <v>25</v>
      </c>
      <c r="O157" s="94">
        <f>VLOOKUP(E157,'Прайс Лазер'!$I$4:$J$21,2,0)</f>
        <v>1.1499999999999999</v>
      </c>
      <c r="P157" s="86">
        <f>HLOOKUP('Оценка лазера'!$E157,'Прайс Лазер'!$C$26:$T$34,1+VLOOKUP(F157,'Прайс Лазер'!$A$26:$B$34,2,0),0)</f>
        <v>21.849999999999998</v>
      </c>
      <c r="Q157" s="86">
        <f t="shared" si="20"/>
        <v>0</v>
      </c>
      <c r="R157" s="86">
        <f t="shared" si="21"/>
        <v>0</v>
      </c>
      <c r="S157" s="86">
        <f t="shared" si="22"/>
        <v>0</v>
      </c>
      <c r="T157" s="86">
        <f t="shared" si="24"/>
        <v>0</v>
      </c>
      <c r="U157" s="86">
        <f t="shared" si="23"/>
        <v>0</v>
      </c>
      <c r="V157" s="98">
        <f t="shared" si="25"/>
        <v>0</v>
      </c>
    </row>
    <row r="158" spans="1:22" ht="15" x14ac:dyDescent="0.25">
      <c r="A158" s="97">
        <f t="shared" si="26"/>
        <v>156</v>
      </c>
      <c r="B158" s="86"/>
      <c r="C158" s="86"/>
      <c r="D158" s="86"/>
      <c r="E158" s="86">
        <v>1</v>
      </c>
      <c r="F158" s="95" t="s">
        <v>83</v>
      </c>
      <c r="G158" s="86"/>
      <c r="H158" s="86">
        <v>0</v>
      </c>
      <c r="I158" s="86">
        <v>0</v>
      </c>
      <c r="J158" s="86">
        <v>0</v>
      </c>
      <c r="K158" s="86">
        <v>0</v>
      </c>
      <c r="L158" s="86">
        <v>0</v>
      </c>
      <c r="M158" s="86">
        <f>VLOOKUP(F158,'Прайс Лазер'!$L$3:$M$9,2,0)</f>
        <v>93</v>
      </c>
      <c r="N158" s="86">
        <v>25</v>
      </c>
      <c r="O158" s="94">
        <f>VLOOKUP(E158,'Прайс Лазер'!$I$4:$J$21,2,0)</f>
        <v>1.1499999999999999</v>
      </c>
      <c r="P158" s="86">
        <f>HLOOKUP('Оценка лазера'!$E158,'Прайс Лазер'!$C$26:$T$34,1+VLOOKUP(F158,'Прайс Лазер'!$A$26:$B$34,2,0),0)</f>
        <v>21.849999999999998</v>
      </c>
      <c r="Q158" s="86">
        <f t="shared" si="20"/>
        <v>0</v>
      </c>
      <c r="R158" s="86">
        <f t="shared" si="21"/>
        <v>0</v>
      </c>
      <c r="S158" s="86">
        <f t="shared" si="22"/>
        <v>0</v>
      </c>
      <c r="T158" s="86">
        <f t="shared" si="24"/>
        <v>0</v>
      </c>
      <c r="U158" s="86">
        <f t="shared" si="23"/>
        <v>0</v>
      </c>
      <c r="V158" s="98">
        <f t="shared" si="25"/>
        <v>0</v>
      </c>
    </row>
    <row r="159" spans="1:22" ht="15" x14ac:dyDescent="0.25">
      <c r="A159" s="97">
        <f t="shared" si="26"/>
        <v>157</v>
      </c>
      <c r="B159" s="86"/>
      <c r="C159" s="86"/>
      <c r="D159" s="86"/>
      <c r="E159" s="86">
        <v>1</v>
      </c>
      <c r="F159" s="95" t="s">
        <v>83</v>
      </c>
      <c r="G159" s="86"/>
      <c r="H159" s="86">
        <v>0</v>
      </c>
      <c r="I159" s="86">
        <v>0</v>
      </c>
      <c r="J159" s="86">
        <v>0</v>
      </c>
      <c r="K159" s="86">
        <v>0</v>
      </c>
      <c r="L159" s="86">
        <v>0</v>
      </c>
      <c r="M159" s="86">
        <f>VLOOKUP(F159,'Прайс Лазер'!$L$3:$M$9,2,0)</f>
        <v>93</v>
      </c>
      <c r="N159" s="86">
        <v>25</v>
      </c>
      <c r="O159" s="94">
        <f>VLOOKUP(E159,'Прайс Лазер'!$I$4:$J$21,2,0)</f>
        <v>1.1499999999999999</v>
      </c>
      <c r="P159" s="86">
        <f>HLOOKUP('Оценка лазера'!$E159,'Прайс Лазер'!$C$26:$T$34,1+VLOOKUP(F159,'Прайс Лазер'!$A$26:$B$34,2,0),0)</f>
        <v>21.849999999999998</v>
      </c>
      <c r="Q159" s="86">
        <f t="shared" si="20"/>
        <v>0</v>
      </c>
      <c r="R159" s="86">
        <f t="shared" si="21"/>
        <v>0</v>
      </c>
      <c r="S159" s="86">
        <f t="shared" si="22"/>
        <v>0</v>
      </c>
      <c r="T159" s="86">
        <f t="shared" si="24"/>
        <v>0</v>
      </c>
      <c r="U159" s="86">
        <f t="shared" si="23"/>
        <v>0</v>
      </c>
      <c r="V159" s="98">
        <f t="shared" si="25"/>
        <v>0</v>
      </c>
    </row>
    <row r="160" spans="1:22" ht="15" x14ac:dyDescent="0.25">
      <c r="A160" s="97">
        <f t="shared" si="26"/>
        <v>158</v>
      </c>
      <c r="B160" s="86"/>
      <c r="C160" s="86"/>
      <c r="D160" s="86"/>
      <c r="E160" s="86">
        <v>1</v>
      </c>
      <c r="F160" s="95" t="s">
        <v>83</v>
      </c>
      <c r="G160" s="86"/>
      <c r="H160" s="86">
        <v>0</v>
      </c>
      <c r="I160" s="86">
        <v>0</v>
      </c>
      <c r="J160" s="86">
        <v>0</v>
      </c>
      <c r="K160" s="86">
        <v>0</v>
      </c>
      <c r="L160" s="86">
        <v>0</v>
      </c>
      <c r="M160" s="86">
        <f>VLOOKUP(F160,'Прайс Лазер'!$L$3:$M$9,2,0)</f>
        <v>93</v>
      </c>
      <c r="N160" s="86">
        <v>25</v>
      </c>
      <c r="O160" s="94">
        <f>VLOOKUP(E160,'Прайс Лазер'!$I$4:$J$21,2,0)</f>
        <v>1.1499999999999999</v>
      </c>
      <c r="P160" s="86">
        <f>HLOOKUP('Оценка лазера'!$E160,'Прайс Лазер'!$C$26:$T$34,1+VLOOKUP(F160,'Прайс Лазер'!$A$26:$B$34,2,0),0)</f>
        <v>21.849999999999998</v>
      </c>
      <c r="Q160" s="86">
        <f t="shared" si="20"/>
        <v>0</v>
      </c>
      <c r="R160" s="86">
        <f t="shared" si="21"/>
        <v>0</v>
      </c>
      <c r="S160" s="86">
        <f t="shared" si="22"/>
        <v>0</v>
      </c>
      <c r="T160" s="86">
        <f t="shared" si="24"/>
        <v>0</v>
      </c>
      <c r="U160" s="86">
        <f t="shared" si="23"/>
        <v>0</v>
      </c>
      <c r="V160" s="98">
        <f t="shared" si="25"/>
        <v>0</v>
      </c>
    </row>
    <row r="161" spans="1:22" ht="15" x14ac:dyDescent="0.25">
      <c r="A161" s="97">
        <f t="shared" si="26"/>
        <v>159</v>
      </c>
      <c r="B161" s="86"/>
      <c r="C161" s="86"/>
      <c r="D161" s="86"/>
      <c r="E161" s="86">
        <v>1</v>
      </c>
      <c r="F161" s="95" t="s">
        <v>83</v>
      </c>
      <c r="G161" s="86"/>
      <c r="H161" s="86">
        <v>0</v>
      </c>
      <c r="I161" s="86">
        <v>0</v>
      </c>
      <c r="J161" s="86">
        <v>0</v>
      </c>
      <c r="K161" s="86">
        <v>0</v>
      </c>
      <c r="L161" s="86">
        <v>0</v>
      </c>
      <c r="M161" s="86">
        <f>VLOOKUP(F161,'Прайс Лазер'!$L$3:$M$9,2,0)</f>
        <v>93</v>
      </c>
      <c r="N161" s="86">
        <v>25</v>
      </c>
      <c r="O161" s="94">
        <f>VLOOKUP(E161,'Прайс Лазер'!$I$4:$J$21,2,0)</f>
        <v>1.1499999999999999</v>
      </c>
      <c r="P161" s="86">
        <f>HLOOKUP('Оценка лазера'!$E161,'Прайс Лазер'!$C$26:$T$34,1+VLOOKUP(F161,'Прайс Лазер'!$A$26:$B$34,2,0),0)</f>
        <v>21.849999999999998</v>
      </c>
      <c r="Q161" s="86">
        <f t="shared" si="20"/>
        <v>0</v>
      </c>
      <c r="R161" s="86">
        <f t="shared" si="21"/>
        <v>0</v>
      </c>
      <c r="S161" s="86">
        <f t="shared" si="22"/>
        <v>0</v>
      </c>
      <c r="T161" s="86">
        <f t="shared" si="24"/>
        <v>0</v>
      </c>
      <c r="U161" s="86">
        <f t="shared" si="23"/>
        <v>0</v>
      </c>
      <c r="V161" s="98">
        <f t="shared" si="25"/>
        <v>0</v>
      </c>
    </row>
    <row r="162" spans="1:22" ht="15" x14ac:dyDescent="0.25">
      <c r="A162" s="97">
        <f t="shared" si="26"/>
        <v>160</v>
      </c>
      <c r="B162" s="86"/>
      <c r="C162" s="86"/>
      <c r="D162" s="86"/>
      <c r="E162" s="86">
        <v>1</v>
      </c>
      <c r="F162" s="95" t="s">
        <v>83</v>
      </c>
      <c r="G162" s="86"/>
      <c r="H162" s="86">
        <v>0</v>
      </c>
      <c r="I162" s="86">
        <v>0</v>
      </c>
      <c r="J162" s="86">
        <v>0</v>
      </c>
      <c r="K162" s="86">
        <v>0</v>
      </c>
      <c r="L162" s="86">
        <v>0</v>
      </c>
      <c r="M162" s="86">
        <f>VLOOKUP(F162,'Прайс Лазер'!$L$3:$M$9,2,0)</f>
        <v>93</v>
      </c>
      <c r="N162" s="86">
        <v>25</v>
      </c>
      <c r="O162" s="94">
        <f>VLOOKUP(E162,'Прайс Лазер'!$I$4:$J$21,2,0)</f>
        <v>1.1499999999999999</v>
      </c>
      <c r="P162" s="86">
        <f>HLOOKUP('Оценка лазера'!$E162,'Прайс Лазер'!$C$26:$T$34,1+VLOOKUP(F162,'Прайс Лазер'!$A$26:$B$34,2,0),0)</f>
        <v>21.849999999999998</v>
      </c>
      <c r="Q162" s="86">
        <f t="shared" si="20"/>
        <v>0</v>
      </c>
      <c r="R162" s="86">
        <f t="shared" si="21"/>
        <v>0</v>
      </c>
      <c r="S162" s="86">
        <f t="shared" si="22"/>
        <v>0</v>
      </c>
      <c r="T162" s="86">
        <f t="shared" si="24"/>
        <v>0</v>
      </c>
      <c r="U162" s="86">
        <f t="shared" si="23"/>
        <v>0</v>
      </c>
      <c r="V162" s="98">
        <f t="shared" si="25"/>
        <v>0</v>
      </c>
    </row>
    <row r="163" spans="1:22" ht="15" x14ac:dyDescent="0.25">
      <c r="A163" s="97">
        <f t="shared" si="26"/>
        <v>161</v>
      </c>
      <c r="B163" s="86"/>
      <c r="C163" s="86"/>
      <c r="D163" s="86"/>
      <c r="E163" s="86">
        <v>1</v>
      </c>
      <c r="F163" s="95" t="s">
        <v>83</v>
      </c>
      <c r="G163" s="86"/>
      <c r="H163" s="86">
        <v>0</v>
      </c>
      <c r="I163" s="86">
        <v>0</v>
      </c>
      <c r="J163" s="86">
        <v>0</v>
      </c>
      <c r="K163" s="86">
        <v>0</v>
      </c>
      <c r="L163" s="86">
        <v>0</v>
      </c>
      <c r="M163" s="86">
        <f>VLOOKUP(F163,'Прайс Лазер'!$L$3:$M$9,2,0)</f>
        <v>93</v>
      </c>
      <c r="N163" s="86">
        <v>25</v>
      </c>
      <c r="O163" s="94">
        <f>VLOOKUP(E163,'Прайс Лазер'!$I$4:$J$21,2,0)</f>
        <v>1.1499999999999999</v>
      </c>
      <c r="P163" s="86">
        <f>HLOOKUP('Оценка лазера'!$E163,'Прайс Лазер'!$C$26:$T$34,1+VLOOKUP(F163,'Прайс Лазер'!$A$26:$B$34,2,0),0)</f>
        <v>21.849999999999998</v>
      </c>
      <c r="Q163" s="86">
        <f t="shared" si="20"/>
        <v>0</v>
      </c>
      <c r="R163" s="86">
        <f t="shared" si="21"/>
        <v>0</v>
      </c>
      <c r="S163" s="86">
        <f t="shared" si="22"/>
        <v>0</v>
      </c>
      <c r="T163" s="86">
        <f t="shared" si="24"/>
        <v>0</v>
      </c>
      <c r="U163" s="86">
        <f t="shared" si="23"/>
        <v>0</v>
      </c>
      <c r="V163" s="98">
        <f t="shared" si="25"/>
        <v>0</v>
      </c>
    </row>
    <row r="164" spans="1:22" ht="15" x14ac:dyDescent="0.25">
      <c r="A164" s="97">
        <f t="shared" si="26"/>
        <v>162</v>
      </c>
      <c r="B164" s="86"/>
      <c r="C164" s="86"/>
      <c r="D164" s="86"/>
      <c r="E164" s="86">
        <v>1</v>
      </c>
      <c r="F164" s="95" t="s">
        <v>83</v>
      </c>
      <c r="G164" s="86"/>
      <c r="H164" s="86">
        <v>0</v>
      </c>
      <c r="I164" s="86">
        <v>0</v>
      </c>
      <c r="J164" s="86">
        <v>0</v>
      </c>
      <c r="K164" s="86">
        <v>0</v>
      </c>
      <c r="L164" s="86">
        <v>0</v>
      </c>
      <c r="M164" s="86">
        <f>VLOOKUP(F164,'Прайс Лазер'!$L$3:$M$9,2,0)</f>
        <v>93</v>
      </c>
      <c r="N164" s="86">
        <v>25</v>
      </c>
      <c r="O164" s="94">
        <f>VLOOKUP(E164,'Прайс Лазер'!$I$4:$J$21,2,0)</f>
        <v>1.1499999999999999</v>
      </c>
      <c r="P164" s="86">
        <f>HLOOKUP('Оценка лазера'!$E164,'Прайс Лазер'!$C$26:$T$34,1+VLOOKUP(F164,'Прайс Лазер'!$A$26:$B$34,2,0),0)</f>
        <v>21.849999999999998</v>
      </c>
      <c r="Q164" s="86">
        <f t="shared" si="20"/>
        <v>0</v>
      </c>
      <c r="R164" s="86">
        <f t="shared" si="21"/>
        <v>0</v>
      </c>
      <c r="S164" s="86">
        <f t="shared" si="22"/>
        <v>0</v>
      </c>
      <c r="T164" s="86">
        <f t="shared" si="24"/>
        <v>0</v>
      </c>
      <c r="U164" s="86">
        <f t="shared" si="23"/>
        <v>0</v>
      </c>
      <c r="V164" s="98">
        <f t="shared" si="25"/>
        <v>0</v>
      </c>
    </row>
    <row r="165" spans="1:22" ht="15" x14ac:dyDescent="0.25">
      <c r="A165" s="97">
        <f t="shared" si="26"/>
        <v>163</v>
      </c>
      <c r="B165" s="86"/>
      <c r="C165" s="86"/>
      <c r="D165" s="86"/>
      <c r="E165" s="86">
        <v>1</v>
      </c>
      <c r="F165" s="95" t="s">
        <v>83</v>
      </c>
      <c r="G165" s="86"/>
      <c r="H165" s="86">
        <v>0</v>
      </c>
      <c r="I165" s="86">
        <v>0</v>
      </c>
      <c r="J165" s="86">
        <v>0</v>
      </c>
      <c r="K165" s="86">
        <v>0</v>
      </c>
      <c r="L165" s="86">
        <v>0</v>
      </c>
      <c r="M165" s="86">
        <f>VLOOKUP(F165,'Прайс Лазер'!$L$3:$M$9,2,0)</f>
        <v>93</v>
      </c>
      <c r="N165" s="86">
        <v>25</v>
      </c>
      <c r="O165" s="94">
        <f>VLOOKUP(E165,'Прайс Лазер'!$I$4:$J$21,2,0)</f>
        <v>1.1499999999999999</v>
      </c>
      <c r="P165" s="86">
        <f>HLOOKUP('Оценка лазера'!$E165,'Прайс Лазер'!$C$26:$T$34,1+VLOOKUP(F165,'Прайс Лазер'!$A$26:$B$34,2,0),0)</f>
        <v>21.849999999999998</v>
      </c>
      <c r="Q165" s="86">
        <f t="shared" si="20"/>
        <v>0</v>
      </c>
      <c r="R165" s="86">
        <f t="shared" si="21"/>
        <v>0</v>
      </c>
      <c r="S165" s="86">
        <f t="shared" si="22"/>
        <v>0</v>
      </c>
      <c r="T165" s="86">
        <f t="shared" si="24"/>
        <v>0</v>
      </c>
      <c r="U165" s="86">
        <f t="shared" si="23"/>
        <v>0</v>
      </c>
      <c r="V165" s="98">
        <f t="shared" si="25"/>
        <v>0</v>
      </c>
    </row>
    <row r="166" spans="1:22" ht="15" x14ac:dyDescent="0.25">
      <c r="A166" s="97">
        <f t="shared" si="26"/>
        <v>164</v>
      </c>
      <c r="B166" s="86"/>
      <c r="C166" s="86"/>
      <c r="D166" s="86"/>
      <c r="E166" s="86">
        <v>1</v>
      </c>
      <c r="F166" s="95" t="s">
        <v>83</v>
      </c>
      <c r="G166" s="86"/>
      <c r="H166" s="86">
        <v>0</v>
      </c>
      <c r="I166" s="86">
        <v>0</v>
      </c>
      <c r="J166" s="86">
        <v>0</v>
      </c>
      <c r="K166" s="86">
        <v>0</v>
      </c>
      <c r="L166" s="86">
        <v>0</v>
      </c>
      <c r="M166" s="86">
        <f>VLOOKUP(F166,'Прайс Лазер'!$L$3:$M$9,2,0)</f>
        <v>93</v>
      </c>
      <c r="N166" s="86">
        <v>25</v>
      </c>
      <c r="O166" s="94">
        <f>VLOOKUP(E166,'Прайс Лазер'!$I$4:$J$21,2,0)</f>
        <v>1.1499999999999999</v>
      </c>
      <c r="P166" s="86">
        <f>HLOOKUP('Оценка лазера'!$E166,'Прайс Лазер'!$C$26:$T$34,1+VLOOKUP(F166,'Прайс Лазер'!$A$26:$B$34,2,0),0)</f>
        <v>21.849999999999998</v>
      </c>
      <c r="Q166" s="86">
        <f t="shared" si="20"/>
        <v>0</v>
      </c>
      <c r="R166" s="86">
        <f t="shared" si="21"/>
        <v>0</v>
      </c>
      <c r="S166" s="86">
        <f t="shared" si="22"/>
        <v>0</v>
      </c>
      <c r="T166" s="86">
        <f t="shared" si="24"/>
        <v>0</v>
      </c>
      <c r="U166" s="86">
        <f t="shared" si="23"/>
        <v>0</v>
      </c>
      <c r="V166" s="98">
        <f t="shared" si="25"/>
        <v>0</v>
      </c>
    </row>
    <row r="167" spans="1:22" ht="15" x14ac:dyDescent="0.25">
      <c r="A167" s="97">
        <f t="shared" si="26"/>
        <v>165</v>
      </c>
      <c r="B167" s="86"/>
      <c r="C167" s="86"/>
      <c r="D167" s="86"/>
      <c r="E167" s="86">
        <v>1</v>
      </c>
      <c r="F167" s="95" t="s">
        <v>83</v>
      </c>
      <c r="G167" s="86"/>
      <c r="H167" s="86">
        <v>0</v>
      </c>
      <c r="I167" s="86">
        <v>0</v>
      </c>
      <c r="J167" s="86">
        <v>0</v>
      </c>
      <c r="K167" s="86">
        <v>0</v>
      </c>
      <c r="L167" s="86">
        <v>0</v>
      </c>
      <c r="M167" s="86">
        <f>VLOOKUP(F167,'Прайс Лазер'!$L$3:$M$9,2,0)</f>
        <v>93</v>
      </c>
      <c r="N167" s="86">
        <v>25</v>
      </c>
      <c r="O167" s="94">
        <f>VLOOKUP(E167,'Прайс Лазер'!$I$4:$J$21,2,0)</f>
        <v>1.1499999999999999</v>
      </c>
      <c r="P167" s="86">
        <f>HLOOKUP('Оценка лазера'!$E167,'Прайс Лазер'!$C$26:$T$34,1+VLOOKUP(F167,'Прайс Лазер'!$A$26:$B$34,2,0),0)</f>
        <v>21.849999999999998</v>
      </c>
      <c r="Q167" s="86">
        <f t="shared" si="20"/>
        <v>0</v>
      </c>
      <c r="R167" s="86">
        <f t="shared" si="21"/>
        <v>0</v>
      </c>
      <c r="S167" s="86">
        <f t="shared" si="22"/>
        <v>0</v>
      </c>
      <c r="T167" s="86">
        <f t="shared" si="24"/>
        <v>0</v>
      </c>
      <c r="U167" s="86">
        <f t="shared" si="23"/>
        <v>0</v>
      </c>
      <c r="V167" s="98">
        <f t="shared" si="25"/>
        <v>0</v>
      </c>
    </row>
    <row r="168" spans="1:22" ht="15" x14ac:dyDescent="0.25">
      <c r="A168" s="97">
        <f t="shared" si="26"/>
        <v>166</v>
      </c>
      <c r="B168" s="86"/>
      <c r="C168" s="86"/>
      <c r="D168" s="86"/>
      <c r="E168" s="86">
        <v>1</v>
      </c>
      <c r="F168" s="95" t="s">
        <v>83</v>
      </c>
      <c r="G168" s="86"/>
      <c r="H168" s="86">
        <v>0</v>
      </c>
      <c r="I168" s="86">
        <v>0</v>
      </c>
      <c r="J168" s="86">
        <v>0</v>
      </c>
      <c r="K168" s="86">
        <v>0</v>
      </c>
      <c r="L168" s="86">
        <v>0</v>
      </c>
      <c r="M168" s="86">
        <f>VLOOKUP(F168,'Прайс Лазер'!$L$3:$M$9,2,0)</f>
        <v>93</v>
      </c>
      <c r="N168" s="86">
        <v>25</v>
      </c>
      <c r="O168" s="94">
        <f>VLOOKUP(E168,'Прайс Лазер'!$I$4:$J$21,2,0)</f>
        <v>1.1499999999999999</v>
      </c>
      <c r="P168" s="86">
        <f>HLOOKUP('Оценка лазера'!$E168,'Прайс Лазер'!$C$26:$T$34,1+VLOOKUP(F168,'Прайс Лазер'!$A$26:$B$34,2,0),0)</f>
        <v>21.849999999999998</v>
      </c>
      <c r="Q168" s="86">
        <f t="shared" si="20"/>
        <v>0</v>
      </c>
      <c r="R168" s="86">
        <f t="shared" si="21"/>
        <v>0</v>
      </c>
      <c r="S168" s="86">
        <f t="shared" si="22"/>
        <v>0</v>
      </c>
      <c r="T168" s="86">
        <f t="shared" si="24"/>
        <v>0</v>
      </c>
      <c r="U168" s="86">
        <f t="shared" si="23"/>
        <v>0</v>
      </c>
      <c r="V168" s="98">
        <f t="shared" si="25"/>
        <v>0</v>
      </c>
    </row>
    <row r="169" spans="1:22" ht="15" x14ac:dyDescent="0.25">
      <c r="A169" s="97">
        <f t="shared" si="26"/>
        <v>167</v>
      </c>
      <c r="B169" s="86"/>
      <c r="C169" s="86"/>
      <c r="D169" s="86"/>
      <c r="E169" s="86">
        <v>1</v>
      </c>
      <c r="F169" s="95" t="s">
        <v>83</v>
      </c>
      <c r="G169" s="86"/>
      <c r="H169" s="86">
        <v>0</v>
      </c>
      <c r="I169" s="86">
        <v>0</v>
      </c>
      <c r="J169" s="86">
        <v>0</v>
      </c>
      <c r="K169" s="86">
        <v>0</v>
      </c>
      <c r="L169" s="86">
        <v>0</v>
      </c>
      <c r="M169" s="86">
        <f>VLOOKUP(F169,'Прайс Лазер'!$L$3:$M$9,2,0)</f>
        <v>93</v>
      </c>
      <c r="N169" s="86">
        <v>25</v>
      </c>
      <c r="O169" s="94">
        <f>VLOOKUP(E169,'Прайс Лазер'!$I$4:$J$21,2,0)</f>
        <v>1.1499999999999999</v>
      </c>
      <c r="P169" s="86">
        <f>HLOOKUP('Оценка лазера'!$E169,'Прайс Лазер'!$C$26:$T$34,1+VLOOKUP(F169,'Прайс Лазер'!$A$26:$B$34,2,0),0)</f>
        <v>21.849999999999998</v>
      </c>
      <c r="Q169" s="86">
        <f t="shared" si="20"/>
        <v>0</v>
      </c>
      <c r="R169" s="86">
        <f t="shared" si="21"/>
        <v>0</v>
      </c>
      <c r="S169" s="86">
        <f t="shared" si="22"/>
        <v>0</v>
      </c>
      <c r="T169" s="86">
        <f t="shared" si="24"/>
        <v>0</v>
      </c>
      <c r="U169" s="86">
        <f t="shared" si="23"/>
        <v>0</v>
      </c>
      <c r="V169" s="98">
        <f t="shared" si="25"/>
        <v>0</v>
      </c>
    </row>
    <row r="170" spans="1:22" ht="15" x14ac:dyDescent="0.25">
      <c r="A170" s="97">
        <f t="shared" si="26"/>
        <v>168</v>
      </c>
      <c r="B170" s="86"/>
      <c r="C170" s="86"/>
      <c r="D170" s="86"/>
      <c r="E170" s="86">
        <v>1</v>
      </c>
      <c r="F170" s="95" t="s">
        <v>83</v>
      </c>
      <c r="G170" s="86"/>
      <c r="H170" s="86">
        <v>0</v>
      </c>
      <c r="I170" s="86">
        <v>0</v>
      </c>
      <c r="J170" s="86">
        <v>0</v>
      </c>
      <c r="K170" s="86">
        <v>0</v>
      </c>
      <c r="L170" s="86">
        <v>0</v>
      </c>
      <c r="M170" s="86">
        <f>VLOOKUP(F170,'Прайс Лазер'!$L$3:$M$9,2,0)</f>
        <v>93</v>
      </c>
      <c r="N170" s="86">
        <v>25</v>
      </c>
      <c r="O170" s="94">
        <f>VLOOKUP(E170,'Прайс Лазер'!$I$4:$J$21,2,0)</f>
        <v>1.1499999999999999</v>
      </c>
      <c r="P170" s="86">
        <f>HLOOKUP('Оценка лазера'!$E170,'Прайс Лазер'!$C$26:$T$34,1+VLOOKUP(F170,'Прайс Лазер'!$A$26:$B$34,2,0),0)</f>
        <v>21.849999999999998</v>
      </c>
      <c r="Q170" s="86">
        <f t="shared" si="20"/>
        <v>0</v>
      </c>
      <c r="R170" s="86">
        <f t="shared" si="21"/>
        <v>0</v>
      </c>
      <c r="S170" s="86">
        <f t="shared" si="22"/>
        <v>0</v>
      </c>
      <c r="T170" s="86">
        <f t="shared" si="24"/>
        <v>0</v>
      </c>
      <c r="U170" s="86">
        <f t="shared" si="23"/>
        <v>0</v>
      </c>
      <c r="V170" s="98">
        <f t="shared" si="25"/>
        <v>0</v>
      </c>
    </row>
    <row r="171" spans="1:22" ht="15" x14ac:dyDescent="0.25">
      <c r="A171" s="97">
        <f t="shared" si="26"/>
        <v>169</v>
      </c>
      <c r="B171" s="86"/>
      <c r="C171" s="86"/>
      <c r="D171" s="86"/>
      <c r="E171" s="86">
        <v>1</v>
      </c>
      <c r="F171" s="95" t="s">
        <v>83</v>
      </c>
      <c r="G171" s="86"/>
      <c r="H171" s="86">
        <v>0</v>
      </c>
      <c r="I171" s="86">
        <v>0</v>
      </c>
      <c r="J171" s="86">
        <v>0</v>
      </c>
      <c r="K171" s="86">
        <v>0</v>
      </c>
      <c r="L171" s="86">
        <v>0</v>
      </c>
      <c r="M171" s="86">
        <f>VLOOKUP(F171,'Прайс Лазер'!$L$3:$M$9,2,0)</f>
        <v>93</v>
      </c>
      <c r="N171" s="86">
        <v>25</v>
      </c>
      <c r="O171" s="94">
        <f>VLOOKUP(E171,'Прайс Лазер'!$I$4:$J$21,2,0)</f>
        <v>1.1499999999999999</v>
      </c>
      <c r="P171" s="86">
        <f>HLOOKUP('Оценка лазера'!$E171,'Прайс Лазер'!$C$26:$T$34,1+VLOOKUP(F171,'Прайс Лазер'!$A$26:$B$34,2,0),0)</f>
        <v>21.849999999999998</v>
      </c>
      <c r="Q171" s="86">
        <f t="shared" si="20"/>
        <v>0</v>
      </c>
      <c r="R171" s="86">
        <f t="shared" si="21"/>
        <v>0</v>
      </c>
      <c r="S171" s="86">
        <f t="shared" si="22"/>
        <v>0</v>
      </c>
      <c r="T171" s="86">
        <f t="shared" si="24"/>
        <v>0</v>
      </c>
      <c r="U171" s="86">
        <f t="shared" si="23"/>
        <v>0</v>
      </c>
      <c r="V171" s="98">
        <f t="shared" si="25"/>
        <v>0</v>
      </c>
    </row>
    <row r="172" spans="1:22" ht="15" x14ac:dyDescent="0.25">
      <c r="A172" s="97">
        <f t="shared" si="26"/>
        <v>170</v>
      </c>
      <c r="B172" s="86"/>
      <c r="C172" s="86"/>
      <c r="D172" s="86"/>
      <c r="E172" s="86">
        <v>1</v>
      </c>
      <c r="F172" s="95" t="s">
        <v>83</v>
      </c>
      <c r="G172" s="86"/>
      <c r="H172" s="86">
        <v>0</v>
      </c>
      <c r="I172" s="86">
        <v>0</v>
      </c>
      <c r="J172" s="86">
        <v>0</v>
      </c>
      <c r="K172" s="86">
        <v>0</v>
      </c>
      <c r="L172" s="86">
        <v>0</v>
      </c>
      <c r="M172" s="86">
        <f>VLOOKUP(F172,'Прайс Лазер'!$L$3:$M$9,2,0)</f>
        <v>93</v>
      </c>
      <c r="N172" s="86">
        <v>25</v>
      </c>
      <c r="O172" s="94">
        <f>VLOOKUP(E172,'Прайс Лазер'!$I$4:$J$21,2,0)</f>
        <v>1.1499999999999999</v>
      </c>
      <c r="P172" s="86">
        <f>HLOOKUP('Оценка лазера'!$E172,'Прайс Лазер'!$C$26:$T$34,1+VLOOKUP(F172,'Прайс Лазер'!$A$26:$B$34,2,0),0)</f>
        <v>21.849999999999998</v>
      </c>
      <c r="Q172" s="86">
        <f t="shared" si="20"/>
        <v>0</v>
      </c>
      <c r="R172" s="86">
        <f t="shared" si="21"/>
        <v>0</v>
      </c>
      <c r="S172" s="86">
        <f t="shared" si="22"/>
        <v>0</v>
      </c>
      <c r="T172" s="86">
        <f t="shared" si="24"/>
        <v>0</v>
      </c>
      <c r="U172" s="86">
        <f t="shared" si="23"/>
        <v>0</v>
      </c>
      <c r="V172" s="98">
        <f t="shared" si="25"/>
        <v>0</v>
      </c>
    </row>
    <row r="173" spans="1:22" ht="15" x14ac:dyDescent="0.25">
      <c r="A173" s="97">
        <f t="shared" si="26"/>
        <v>171</v>
      </c>
      <c r="B173" s="86"/>
      <c r="C173" s="86"/>
      <c r="D173" s="86"/>
      <c r="E173" s="86">
        <v>1</v>
      </c>
      <c r="F173" s="95" t="s">
        <v>83</v>
      </c>
      <c r="G173" s="86"/>
      <c r="H173" s="86">
        <v>0</v>
      </c>
      <c r="I173" s="86">
        <v>0</v>
      </c>
      <c r="J173" s="86">
        <v>0</v>
      </c>
      <c r="K173" s="86">
        <v>0</v>
      </c>
      <c r="L173" s="86">
        <v>0</v>
      </c>
      <c r="M173" s="86">
        <f>VLOOKUP(F173,'Прайс Лазер'!$L$3:$M$9,2,0)</f>
        <v>93</v>
      </c>
      <c r="N173" s="86">
        <v>25</v>
      </c>
      <c r="O173" s="94">
        <f>VLOOKUP(E173,'Прайс Лазер'!$I$4:$J$21,2,0)</f>
        <v>1.1499999999999999</v>
      </c>
      <c r="P173" s="86">
        <f>HLOOKUP('Оценка лазера'!$E173,'Прайс Лазер'!$C$26:$T$34,1+VLOOKUP(F173,'Прайс Лазер'!$A$26:$B$34,2,0),0)</f>
        <v>21.849999999999998</v>
      </c>
      <c r="Q173" s="86">
        <f t="shared" si="20"/>
        <v>0</v>
      </c>
      <c r="R173" s="86">
        <f t="shared" si="21"/>
        <v>0</v>
      </c>
      <c r="S173" s="86">
        <f t="shared" si="22"/>
        <v>0</v>
      </c>
      <c r="T173" s="86">
        <f t="shared" si="24"/>
        <v>0</v>
      </c>
      <c r="U173" s="86">
        <f t="shared" si="23"/>
        <v>0</v>
      </c>
      <c r="V173" s="98">
        <f t="shared" si="25"/>
        <v>0</v>
      </c>
    </row>
    <row r="174" spans="1:22" ht="15" x14ac:dyDescent="0.25">
      <c r="A174" s="97">
        <f t="shared" si="26"/>
        <v>172</v>
      </c>
      <c r="B174" s="86"/>
      <c r="C174" s="86"/>
      <c r="D174" s="86"/>
      <c r="E174" s="86">
        <v>1</v>
      </c>
      <c r="F174" s="95" t="s">
        <v>83</v>
      </c>
      <c r="G174" s="86"/>
      <c r="H174" s="86">
        <v>0</v>
      </c>
      <c r="I174" s="86">
        <v>0</v>
      </c>
      <c r="J174" s="86">
        <v>0</v>
      </c>
      <c r="K174" s="86">
        <v>0</v>
      </c>
      <c r="L174" s="86">
        <v>0</v>
      </c>
      <c r="M174" s="86">
        <f>VLOOKUP(F174,'Прайс Лазер'!$L$3:$M$9,2,0)</f>
        <v>93</v>
      </c>
      <c r="N174" s="86">
        <v>25</v>
      </c>
      <c r="O174" s="94">
        <f>VLOOKUP(E174,'Прайс Лазер'!$I$4:$J$21,2,0)</f>
        <v>1.1499999999999999</v>
      </c>
      <c r="P174" s="86">
        <f>HLOOKUP('Оценка лазера'!$E174,'Прайс Лазер'!$C$26:$T$34,1+VLOOKUP(F174,'Прайс Лазер'!$A$26:$B$34,2,0),0)</f>
        <v>21.849999999999998</v>
      </c>
      <c r="Q174" s="86">
        <f t="shared" si="20"/>
        <v>0</v>
      </c>
      <c r="R174" s="86">
        <f t="shared" si="21"/>
        <v>0</v>
      </c>
      <c r="S174" s="86">
        <f t="shared" si="22"/>
        <v>0</v>
      </c>
      <c r="T174" s="86">
        <f t="shared" si="24"/>
        <v>0</v>
      </c>
      <c r="U174" s="86">
        <f t="shared" si="23"/>
        <v>0</v>
      </c>
      <c r="V174" s="98">
        <f t="shared" si="25"/>
        <v>0</v>
      </c>
    </row>
    <row r="175" spans="1:22" ht="15" x14ac:dyDescent="0.25">
      <c r="A175" s="97">
        <f t="shared" si="26"/>
        <v>173</v>
      </c>
      <c r="B175" s="86"/>
      <c r="C175" s="86"/>
      <c r="D175" s="86"/>
      <c r="E175" s="86">
        <v>1</v>
      </c>
      <c r="F175" s="95" t="s">
        <v>83</v>
      </c>
      <c r="G175" s="86"/>
      <c r="H175" s="86">
        <v>0</v>
      </c>
      <c r="I175" s="86">
        <v>0</v>
      </c>
      <c r="J175" s="86">
        <v>0</v>
      </c>
      <c r="K175" s="86">
        <v>0</v>
      </c>
      <c r="L175" s="86">
        <v>0</v>
      </c>
      <c r="M175" s="86">
        <f>VLOOKUP(F175,'Прайс Лазер'!$L$3:$M$9,2,0)</f>
        <v>93</v>
      </c>
      <c r="N175" s="86">
        <v>25</v>
      </c>
      <c r="O175" s="94">
        <f>VLOOKUP(E175,'Прайс Лазер'!$I$4:$J$21,2,0)</f>
        <v>1.1499999999999999</v>
      </c>
      <c r="P175" s="86">
        <f>HLOOKUP('Оценка лазера'!$E175,'Прайс Лазер'!$C$26:$T$34,1+VLOOKUP(F175,'Прайс Лазер'!$A$26:$B$34,2,0),0)</f>
        <v>21.849999999999998</v>
      </c>
      <c r="Q175" s="86">
        <f t="shared" si="20"/>
        <v>0</v>
      </c>
      <c r="R175" s="86">
        <f t="shared" si="21"/>
        <v>0</v>
      </c>
      <c r="S175" s="86">
        <f t="shared" si="22"/>
        <v>0</v>
      </c>
      <c r="T175" s="86">
        <f t="shared" si="24"/>
        <v>0</v>
      </c>
      <c r="U175" s="86">
        <f t="shared" si="23"/>
        <v>0</v>
      </c>
      <c r="V175" s="98">
        <f t="shared" si="25"/>
        <v>0</v>
      </c>
    </row>
    <row r="176" spans="1:22" ht="15" x14ac:dyDescent="0.25">
      <c r="A176" s="97">
        <f t="shared" si="26"/>
        <v>174</v>
      </c>
      <c r="B176" s="86"/>
      <c r="C176" s="86"/>
      <c r="D176" s="86"/>
      <c r="E176" s="86">
        <v>1</v>
      </c>
      <c r="F176" s="95" t="s">
        <v>83</v>
      </c>
      <c r="G176" s="86"/>
      <c r="H176" s="86">
        <v>0</v>
      </c>
      <c r="I176" s="86">
        <v>0</v>
      </c>
      <c r="J176" s="86">
        <v>0</v>
      </c>
      <c r="K176" s="86">
        <v>0</v>
      </c>
      <c r="L176" s="86">
        <v>0</v>
      </c>
      <c r="M176" s="86">
        <f>VLOOKUP(F176,'Прайс Лазер'!$L$3:$M$9,2,0)</f>
        <v>93</v>
      </c>
      <c r="N176" s="86">
        <v>25</v>
      </c>
      <c r="O176" s="94">
        <f>VLOOKUP(E176,'Прайс Лазер'!$I$4:$J$21,2,0)</f>
        <v>1.1499999999999999</v>
      </c>
      <c r="P176" s="86">
        <f>HLOOKUP('Оценка лазера'!$E176,'Прайс Лазер'!$C$26:$T$34,1+VLOOKUP(F176,'Прайс Лазер'!$A$26:$B$34,2,0),0)</f>
        <v>21.849999999999998</v>
      </c>
      <c r="Q176" s="86">
        <f t="shared" si="20"/>
        <v>0</v>
      </c>
      <c r="R176" s="86">
        <f t="shared" si="21"/>
        <v>0</v>
      </c>
      <c r="S176" s="86">
        <f t="shared" si="22"/>
        <v>0</v>
      </c>
      <c r="T176" s="86">
        <f t="shared" si="24"/>
        <v>0</v>
      </c>
      <c r="U176" s="86">
        <f t="shared" si="23"/>
        <v>0</v>
      </c>
      <c r="V176" s="98">
        <f t="shared" si="25"/>
        <v>0</v>
      </c>
    </row>
    <row r="177" spans="1:22" ht="15" x14ac:dyDescent="0.25">
      <c r="A177" s="97">
        <f t="shared" si="26"/>
        <v>175</v>
      </c>
      <c r="B177" s="86"/>
      <c r="C177" s="86"/>
      <c r="D177" s="86"/>
      <c r="E177" s="86">
        <v>1</v>
      </c>
      <c r="F177" s="95" t="s">
        <v>83</v>
      </c>
      <c r="G177" s="86"/>
      <c r="H177" s="86">
        <v>0</v>
      </c>
      <c r="I177" s="86">
        <v>0</v>
      </c>
      <c r="J177" s="86">
        <v>0</v>
      </c>
      <c r="K177" s="86">
        <v>0</v>
      </c>
      <c r="L177" s="86">
        <v>0</v>
      </c>
      <c r="M177" s="86">
        <f>VLOOKUP(F177,'Прайс Лазер'!$L$3:$M$9,2,0)</f>
        <v>93</v>
      </c>
      <c r="N177" s="86">
        <v>25</v>
      </c>
      <c r="O177" s="94">
        <f>VLOOKUP(E177,'Прайс Лазер'!$I$4:$J$21,2,0)</f>
        <v>1.1499999999999999</v>
      </c>
      <c r="P177" s="86">
        <f>HLOOKUP('Оценка лазера'!$E177,'Прайс Лазер'!$C$26:$T$34,1+VLOOKUP(F177,'Прайс Лазер'!$A$26:$B$34,2,0),0)</f>
        <v>21.849999999999998</v>
      </c>
      <c r="Q177" s="86">
        <f t="shared" si="20"/>
        <v>0</v>
      </c>
      <c r="R177" s="86">
        <f t="shared" si="21"/>
        <v>0</v>
      </c>
      <c r="S177" s="86">
        <f t="shared" si="22"/>
        <v>0</v>
      </c>
      <c r="T177" s="86">
        <f t="shared" si="24"/>
        <v>0</v>
      </c>
      <c r="U177" s="86">
        <f t="shared" si="23"/>
        <v>0</v>
      </c>
      <c r="V177" s="98">
        <f t="shared" si="25"/>
        <v>0</v>
      </c>
    </row>
    <row r="178" spans="1:22" ht="15" x14ac:dyDescent="0.25">
      <c r="A178" s="97">
        <f t="shared" si="26"/>
        <v>176</v>
      </c>
      <c r="B178" s="86"/>
      <c r="C178" s="86"/>
      <c r="D178" s="86"/>
      <c r="E178" s="86">
        <v>1</v>
      </c>
      <c r="F178" s="95" t="s">
        <v>83</v>
      </c>
      <c r="G178" s="86"/>
      <c r="H178" s="86">
        <v>0</v>
      </c>
      <c r="I178" s="86">
        <v>0</v>
      </c>
      <c r="J178" s="86">
        <v>0</v>
      </c>
      <c r="K178" s="86">
        <v>0</v>
      </c>
      <c r="L178" s="86">
        <v>0</v>
      </c>
      <c r="M178" s="86">
        <f>VLOOKUP(F178,'Прайс Лазер'!$L$3:$M$9,2,0)</f>
        <v>93</v>
      </c>
      <c r="N178" s="86">
        <v>25</v>
      </c>
      <c r="O178" s="94">
        <f>VLOOKUP(E178,'Прайс Лазер'!$I$4:$J$21,2,0)</f>
        <v>1.1499999999999999</v>
      </c>
      <c r="P178" s="86">
        <f>HLOOKUP('Оценка лазера'!$E178,'Прайс Лазер'!$C$26:$T$34,1+VLOOKUP(F178,'Прайс Лазер'!$A$26:$B$34,2,0),0)</f>
        <v>21.849999999999998</v>
      </c>
      <c r="Q178" s="86">
        <f t="shared" si="20"/>
        <v>0</v>
      </c>
      <c r="R178" s="86">
        <f t="shared" si="21"/>
        <v>0</v>
      </c>
      <c r="S178" s="86">
        <f t="shared" si="22"/>
        <v>0</v>
      </c>
      <c r="T178" s="86">
        <f t="shared" si="24"/>
        <v>0</v>
      </c>
      <c r="U178" s="86">
        <f t="shared" si="23"/>
        <v>0</v>
      </c>
      <c r="V178" s="98">
        <f t="shared" si="25"/>
        <v>0</v>
      </c>
    </row>
    <row r="179" spans="1:22" ht="15" x14ac:dyDescent="0.25">
      <c r="A179" s="97">
        <f t="shared" si="26"/>
        <v>177</v>
      </c>
      <c r="B179" s="86"/>
      <c r="C179" s="86"/>
      <c r="D179" s="86"/>
      <c r="E179" s="86">
        <v>1</v>
      </c>
      <c r="F179" s="95" t="s">
        <v>83</v>
      </c>
      <c r="G179" s="86"/>
      <c r="H179" s="86">
        <v>0</v>
      </c>
      <c r="I179" s="86">
        <v>0</v>
      </c>
      <c r="J179" s="86">
        <v>0</v>
      </c>
      <c r="K179" s="86">
        <v>0</v>
      </c>
      <c r="L179" s="86">
        <v>0</v>
      </c>
      <c r="M179" s="86">
        <f>VLOOKUP(F179,'Прайс Лазер'!$L$3:$M$9,2,0)</f>
        <v>93</v>
      </c>
      <c r="N179" s="86">
        <v>25</v>
      </c>
      <c r="O179" s="94">
        <f>VLOOKUP(E179,'Прайс Лазер'!$I$4:$J$21,2,0)</f>
        <v>1.1499999999999999</v>
      </c>
      <c r="P179" s="86">
        <f>HLOOKUP('Оценка лазера'!$E179,'Прайс Лазер'!$C$26:$T$34,1+VLOOKUP(F179,'Прайс Лазер'!$A$26:$B$34,2,0),0)</f>
        <v>21.849999999999998</v>
      </c>
      <c r="Q179" s="86">
        <f t="shared" si="20"/>
        <v>0</v>
      </c>
      <c r="R179" s="86">
        <f t="shared" si="21"/>
        <v>0</v>
      </c>
      <c r="S179" s="86">
        <f t="shared" si="22"/>
        <v>0</v>
      </c>
      <c r="T179" s="86">
        <f t="shared" si="24"/>
        <v>0</v>
      </c>
      <c r="U179" s="86">
        <f t="shared" si="23"/>
        <v>0</v>
      </c>
      <c r="V179" s="98">
        <f t="shared" si="25"/>
        <v>0</v>
      </c>
    </row>
    <row r="180" spans="1:22" ht="15" x14ac:dyDescent="0.25">
      <c r="A180" s="97">
        <f t="shared" si="26"/>
        <v>178</v>
      </c>
      <c r="B180" s="86"/>
      <c r="C180" s="86"/>
      <c r="D180" s="86"/>
      <c r="E180" s="86">
        <v>1</v>
      </c>
      <c r="F180" s="95" t="s">
        <v>83</v>
      </c>
      <c r="G180" s="86"/>
      <c r="H180" s="86">
        <v>0</v>
      </c>
      <c r="I180" s="86">
        <v>0</v>
      </c>
      <c r="J180" s="86">
        <v>0</v>
      </c>
      <c r="K180" s="86">
        <v>0</v>
      </c>
      <c r="L180" s="86">
        <v>0</v>
      </c>
      <c r="M180" s="86">
        <f>VLOOKUP(F180,'Прайс Лазер'!$L$3:$M$9,2,0)</f>
        <v>93</v>
      </c>
      <c r="N180" s="86">
        <v>25</v>
      </c>
      <c r="O180" s="94">
        <f>VLOOKUP(E180,'Прайс Лазер'!$I$4:$J$21,2,0)</f>
        <v>1.1499999999999999</v>
      </c>
      <c r="P180" s="86">
        <f>HLOOKUP('Оценка лазера'!$E180,'Прайс Лазер'!$C$26:$T$34,1+VLOOKUP(F180,'Прайс Лазер'!$A$26:$B$34,2,0),0)</f>
        <v>21.849999999999998</v>
      </c>
      <c r="Q180" s="86">
        <f t="shared" si="20"/>
        <v>0</v>
      </c>
      <c r="R180" s="86">
        <f t="shared" si="21"/>
        <v>0</v>
      </c>
      <c r="S180" s="86">
        <f t="shared" si="22"/>
        <v>0</v>
      </c>
      <c r="T180" s="86">
        <f t="shared" si="24"/>
        <v>0</v>
      </c>
      <c r="U180" s="86">
        <f t="shared" si="23"/>
        <v>0</v>
      </c>
      <c r="V180" s="98">
        <f t="shared" si="25"/>
        <v>0</v>
      </c>
    </row>
    <row r="181" spans="1:22" ht="15" x14ac:dyDescent="0.25">
      <c r="A181" s="97">
        <f t="shared" si="26"/>
        <v>179</v>
      </c>
      <c r="B181" s="86"/>
      <c r="C181" s="86"/>
      <c r="D181" s="86"/>
      <c r="E181" s="86">
        <v>1</v>
      </c>
      <c r="F181" s="95" t="s">
        <v>83</v>
      </c>
      <c r="G181" s="86"/>
      <c r="H181" s="86">
        <v>0</v>
      </c>
      <c r="I181" s="86">
        <v>0</v>
      </c>
      <c r="J181" s="86">
        <v>0</v>
      </c>
      <c r="K181" s="86">
        <v>0</v>
      </c>
      <c r="L181" s="86">
        <v>0</v>
      </c>
      <c r="M181" s="86">
        <f>VLOOKUP(F181,'Прайс Лазер'!$L$3:$M$9,2,0)</f>
        <v>93</v>
      </c>
      <c r="N181" s="86">
        <v>25</v>
      </c>
      <c r="O181" s="94">
        <f>VLOOKUP(E181,'Прайс Лазер'!$I$4:$J$21,2,0)</f>
        <v>1.1499999999999999</v>
      </c>
      <c r="P181" s="86">
        <f>HLOOKUP('Оценка лазера'!$E181,'Прайс Лазер'!$C$26:$T$34,1+VLOOKUP(F181,'Прайс Лазер'!$A$26:$B$34,2,0),0)</f>
        <v>21.849999999999998</v>
      </c>
      <c r="Q181" s="86">
        <f t="shared" si="20"/>
        <v>0</v>
      </c>
      <c r="R181" s="86">
        <f t="shared" si="21"/>
        <v>0</v>
      </c>
      <c r="S181" s="86">
        <f t="shared" si="22"/>
        <v>0</v>
      </c>
      <c r="T181" s="86">
        <f t="shared" si="24"/>
        <v>0</v>
      </c>
      <c r="U181" s="86">
        <f t="shared" si="23"/>
        <v>0</v>
      </c>
      <c r="V181" s="98">
        <f t="shared" si="25"/>
        <v>0</v>
      </c>
    </row>
    <row r="182" spans="1:22" ht="15" x14ac:dyDescent="0.25">
      <c r="A182" s="97">
        <f t="shared" si="26"/>
        <v>180</v>
      </c>
      <c r="B182" s="86"/>
      <c r="C182" s="86"/>
      <c r="D182" s="86"/>
      <c r="E182" s="86">
        <v>1</v>
      </c>
      <c r="F182" s="95" t="s">
        <v>83</v>
      </c>
      <c r="G182" s="86"/>
      <c r="H182" s="86">
        <v>0</v>
      </c>
      <c r="I182" s="86">
        <v>0</v>
      </c>
      <c r="J182" s="86">
        <v>0</v>
      </c>
      <c r="K182" s="86">
        <v>0</v>
      </c>
      <c r="L182" s="86">
        <v>0</v>
      </c>
      <c r="M182" s="86">
        <f>VLOOKUP(F182,'Прайс Лазер'!$L$3:$M$9,2,0)</f>
        <v>93</v>
      </c>
      <c r="N182" s="86">
        <v>25</v>
      </c>
      <c r="O182" s="94">
        <f>VLOOKUP(E182,'Прайс Лазер'!$I$4:$J$21,2,0)</f>
        <v>1.1499999999999999</v>
      </c>
      <c r="P182" s="86">
        <f>HLOOKUP('Оценка лазера'!$E182,'Прайс Лазер'!$C$26:$T$34,1+VLOOKUP(F182,'Прайс Лазер'!$A$26:$B$34,2,0),0)</f>
        <v>21.849999999999998</v>
      </c>
      <c r="Q182" s="86">
        <f t="shared" si="20"/>
        <v>0</v>
      </c>
      <c r="R182" s="86">
        <f t="shared" si="21"/>
        <v>0</v>
      </c>
      <c r="S182" s="86">
        <f t="shared" si="22"/>
        <v>0</v>
      </c>
      <c r="T182" s="86">
        <f t="shared" si="24"/>
        <v>0</v>
      </c>
      <c r="U182" s="86">
        <f t="shared" si="23"/>
        <v>0</v>
      </c>
      <c r="V182" s="98">
        <f t="shared" si="25"/>
        <v>0</v>
      </c>
    </row>
    <row r="183" spans="1:22" ht="15" x14ac:dyDescent="0.25">
      <c r="A183" s="97">
        <f t="shared" si="26"/>
        <v>181</v>
      </c>
      <c r="B183" s="86"/>
      <c r="C183" s="86"/>
      <c r="D183" s="86"/>
      <c r="E183" s="86">
        <v>1</v>
      </c>
      <c r="F183" s="95" t="s">
        <v>83</v>
      </c>
      <c r="G183" s="86"/>
      <c r="H183" s="86">
        <v>0</v>
      </c>
      <c r="I183" s="86">
        <v>0</v>
      </c>
      <c r="J183" s="86">
        <v>0</v>
      </c>
      <c r="K183" s="86">
        <v>0</v>
      </c>
      <c r="L183" s="86">
        <v>0</v>
      </c>
      <c r="M183" s="86">
        <f>VLOOKUP(F183,'Прайс Лазер'!$L$3:$M$9,2,0)</f>
        <v>93</v>
      </c>
      <c r="N183" s="86">
        <v>25</v>
      </c>
      <c r="O183" s="94">
        <f>VLOOKUP(E183,'Прайс Лазер'!$I$4:$J$21,2,0)</f>
        <v>1.1499999999999999</v>
      </c>
      <c r="P183" s="86">
        <f>HLOOKUP('Оценка лазера'!$E183,'Прайс Лазер'!$C$26:$T$34,1+VLOOKUP(F183,'Прайс Лазер'!$A$26:$B$34,2,0),0)</f>
        <v>21.849999999999998</v>
      </c>
      <c r="Q183" s="86">
        <f t="shared" si="20"/>
        <v>0</v>
      </c>
      <c r="R183" s="86">
        <f t="shared" si="21"/>
        <v>0</v>
      </c>
      <c r="S183" s="86">
        <f t="shared" si="22"/>
        <v>0</v>
      </c>
      <c r="T183" s="86">
        <f t="shared" si="24"/>
        <v>0</v>
      </c>
      <c r="U183" s="86">
        <f t="shared" si="23"/>
        <v>0</v>
      </c>
      <c r="V183" s="98">
        <f t="shared" si="25"/>
        <v>0</v>
      </c>
    </row>
    <row r="184" spans="1:22" ht="15" x14ac:dyDescent="0.25">
      <c r="A184" s="97">
        <f t="shared" si="26"/>
        <v>182</v>
      </c>
      <c r="B184" s="86"/>
      <c r="C184" s="86"/>
      <c r="D184" s="86"/>
      <c r="E184" s="86">
        <v>1</v>
      </c>
      <c r="F184" s="95" t="s">
        <v>83</v>
      </c>
      <c r="G184" s="86"/>
      <c r="H184" s="86">
        <v>0</v>
      </c>
      <c r="I184" s="86">
        <v>0</v>
      </c>
      <c r="J184" s="86">
        <v>0</v>
      </c>
      <c r="K184" s="86">
        <v>0</v>
      </c>
      <c r="L184" s="86">
        <v>0</v>
      </c>
      <c r="M184" s="86">
        <f>VLOOKUP(F184,'Прайс Лазер'!$L$3:$M$9,2,0)</f>
        <v>93</v>
      </c>
      <c r="N184" s="86">
        <v>25</v>
      </c>
      <c r="O184" s="94">
        <f>VLOOKUP(E184,'Прайс Лазер'!$I$4:$J$21,2,0)</f>
        <v>1.1499999999999999</v>
      </c>
      <c r="P184" s="86">
        <f>HLOOKUP('Оценка лазера'!$E184,'Прайс Лазер'!$C$26:$T$34,1+VLOOKUP(F184,'Прайс Лазер'!$A$26:$B$34,2,0),0)</f>
        <v>21.849999999999998</v>
      </c>
      <c r="Q184" s="86">
        <f t="shared" si="20"/>
        <v>0</v>
      </c>
      <c r="R184" s="86">
        <f t="shared" si="21"/>
        <v>0</v>
      </c>
      <c r="S184" s="86">
        <f t="shared" si="22"/>
        <v>0</v>
      </c>
      <c r="T184" s="86">
        <f t="shared" si="24"/>
        <v>0</v>
      </c>
      <c r="U184" s="86">
        <f t="shared" si="23"/>
        <v>0</v>
      </c>
      <c r="V184" s="98">
        <f t="shared" si="25"/>
        <v>0</v>
      </c>
    </row>
    <row r="185" spans="1:22" ht="15" x14ac:dyDescent="0.25">
      <c r="A185" s="97">
        <f t="shared" si="26"/>
        <v>183</v>
      </c>
      <c r="B185" s="86"/>
      <c r="C185" s="86"/>
      <c r="D185" s="86"/>
      <c r="E185" s="86">
        <v>1</v>
      </c>
      <c r="F185" s="95" t="s">
        <v>83</v>
      </c>
      <c r="G185" s="86"/>
      <c r="H185" s="86">
        <v>0</v>
      </c>
      <c r="I185" s="86">
        <v>0</v>
      </c>
      <c r="J185" s="86">
        <v>0</v>
      </c>
      <c r="K185" s="86">
        <v>0</v>
      </c>
      <c r="L185" s="86">
        <v>0</v>
      </c>
      <c r="M185" s="86">
        <f>VLOOKUP(F185,'Прайс Лазер'!$L$3:$M$9,2,0)</f>
        <v>93</v>
      </c>
      <c r="N185" s="86">
        <v>25</v>
      </c>
      <c r="O185" s="94">
        <f>VLOOKUP(E185,'Прайс Лазер'!$I$4:$J$21,2,0)</f>
        <v>1.1499999999999999</v>
      </c>
      <c r="P185" s="86">
        <f>HLOOKUP('Оценка лазера'!$E185,'Прайс Лазер'!$C$26:$T$34,1+VLOOKUP(F185,'Прайс Лазер'!$A$26:$B$34,2,0),0)</f>
        <v>21.849999999999998</v>
      </c>
      <c r="Q185" s="86">
        <f t="shared" si="20"/>
        <v>0</v>
      </c>
      <c r="R185" s="86">
        <f t="shared" si="21"/>
        <v>0</v>
      </c>
      <c r="S185" s="86">
        <f t="shared" si="22"/>
        <v>0</v>
      </c>
      <c r="T185" s="86">
        <f t="shared" si="24"/>
        <v>0</v>
      </c>
      <c r="U185" s="86">
        <f t="shared" si="23"/>
        <v>0</v>
      </c>
      <c r="V185" s="98">
        <f t="shared" si="25"/>
        <v>0</v>
      </c>
    </row>
    <row r="186" spans="1:22" ht="15" x14ac:dyDescent="0.25">
      <c r="A186" s="97">
        <f t="shared" si="26"/>
        <v>184</v>
      </c>
      <c r="B186" s="86"/>
      <c r="C186" s="86"/>
      <c r="D186" s="86"/>
      <c r="E186" s="86">
        <v>1</v>
      </c>
      <c r="F186" s="95" t="s">
        <v>83</v>
      </c>
      <c r="G186" s="86"/>
      <c r="H186" s="86">
        <v>0</v>
      </c>
      <c r="I186" s="86">
        <v>0</v>
      </c>
      <c r="J186" s="86">
        <v>0</v>
      </c>
      <c r="K186" s="86">
        <v>0</v>
      </c>
      <c r="L186" s="86">
        <v>0</v>
      </c>
      <c r="M186" s="86">
        <f>VLOOKUP(F186,'Прайс Лазер'!$L$3:$M$9,2,0)</f>
        <v>93</v>
      </c>
      <c r="N186" s="86">
        <v>25</v>
      </c>
      <c r="O186" s="94">
        <f>VLOOKUP(E186,'Прайс Лазер'!$I$4:$J$21,2,0)</f>
        <v>1.1499999999999999</v>
      </c>
      <c r="P186" s="86">
        <f>HLOOKUP('Оценка лазера'!$E186,'Прайс Лазер'!$C$26:$T$34,1+VLOOKUP(F186,'Прайс Лазер'!$A$26:$B$34,2,0),0)</f>
        <v>21.849999999999998</v>
      </c>
      <c r="Q186" s="86">
        <f t="shared" si="20"/>
        <v>0</v>
      </c>
      <c r="R186" s="86">
        <f t="shared" si="21"/>
        <v>0</v>
      </c>
      <c r="S186" s="86">
        <f t="shared" si="22"/>
        <v>0</v>
      </c>
      <c r="T186" s="86">
        <f t="shared" si="24"/>
        <v>0</v>
      </c>
      <c r="U186" s="86">
        <f t="shared" si="23"/>
        <v>0</v>
      </c>
      <c r="V186" s="98">
        <f t="shared" si="25"/>
        <v>0</v>
      </c>
    </row>
    <row r="187" spans="1:22" ht="15" x14ac:dyDescent="0.25">
      <c r="A187" s="97">
        <f t="shared" si="26"/>
        <v>185</v>
      </c>
      <c r="B187" s="86"/>
      <c r="C187" s="86"/>
      <c r="D187" s="86"/>
      <c r="E187" s="86">
        <v>1</v>
      </c>
      <c r="F187" s="95" t="s">
        <v>83</v>
      </c>
      <c r="G187" s="86"/>
      <c r="H187" s="86">
        <v>0</v>
      </c>
      <c r="I187" s="86">
        <v>0</v>
      </c>
      <c r="J187" s="86">
        <v>0</v>
      </c>
      <c r="K187" s="86">
        <v>0</v>
      </c>
      <c r="L187" s="86">
        <v>0</v>
      </c>
      <c r="M187" s="86">
        <f>VLOOKUP(F187,'Прайс Лазер'!$L$3:$M$9,2,0)</f>
        <v>93</v>
      </c>
      <c r="N187" s="86">
        <v>25</v>
      </c>
      <c r="O187" s="94">
        <f>VLOOKUP(E187,'Прайс Лазер'!$I$4:$J$21,2,0)</f>
        <v>1.1499999999999999</v>
      </c>
      <c r="P187" s="86">
        <f>HLOOKUP('Оценка лазера'!$E187,'Прайс Лазер'!$C$26:$T$34,1+VLOOKUP(F187,'Прайс Лазер'!$A$26:$B$34,2,0),0)</f>
        <v>21.849999999999998</v>
      </c>
      <c r="Q187" s="86">
        <f t="shared" si="20"/>
        <v>0</v>
      </c>
      <c r="R187" s="86">
        <f t="shared" si="21"/>
        <v>0</v>
      </c>
      <c r="S187" s="86">
        <f t="shared" si="22"/>
        <v>0</v>
      </c>
      <c r="T187" s="86">
        <f t="shared" si="24"/>
        <v>0</v>
      </c>
      <c r="U187" s="86">
        <f t="shared" si="23"/>
        <v>0</v>
      </c>
      <c r="V187" s="98">
        <f t="shared" si="25"/>
        <v>0</v>
      </c>
    </row>
    <row r="188" spans="1:22" ht="15" x14ac:dyDescent="0.25">
      <c r="A188" s="97">
        <f t="shared" si="26"/>
        <v>186</v>
      </c>
      <c r="B188" s="86"/>
      <c r="C188" s="86"/>
      <c r="D188" s="86"/>
      <c r="E188" s="86">
        <v>1</v>
      </c>
      <c r="F188" s="95" t="s">
        <v>83</v>
      </c>
      <c r="G188" s="86"/>
      <c r="H188" s="86">
        <v>0</v>
      </c>
      <c r="I188" s="86">
        <v>0</v>
      </c>
      <c r="J188" s="86">
        <v>0</v>
      </c>
      <c r="K188" s="86">
        <v>0</v>
      </c>
      <c r="L188" s="86">
        <v>0</v>
      </c>
      <c r="M188" s="86">
        <f>VLOOKUP(F188,'Прайс Лазер'!$L$3:$M$9,2,0)</f>
        <v>93</v>
      </c>
      <c r="N188" s="86">
        <v>25</v>
      </c>
      <c r="O188" s="94">
        <f>VLOOKUP(E188,'Прайс Лазер'!$I$4:$J$21,2,0)</f>
        <v>1.1499999999999999</v>
      </c>
      <c r="P188" s="86">
        <f>HLOOKUP('Оценка лазера'!$E188,'Прайс Лазер'!$C$26:$T$34,1+VLOOKUP(F188,'Прайс Лазер'!$A$26:$B$34,2,0),0)</f>
        <v>21.849999999999998</v>
      </c>
      <c r="Q188" s="86">
        <f t="shared" si="20"/>
        <v>0</v>
      </c>
      <c r="R188" s="86">
        <f t="shared" si="21"/>
        <v>0</v>
      </c>
      <c r="S188" s="86">
        <f t="shared" si="22"/>
        <v>0</v>
      </c>
      <c r="T188" s="86">
        <f t="shared" si="24"/>
        <v>0</v>
      </c>
      <c r="U188" s="86">
        <f t="shared" si="23"/>
        <v>0</v>
      </c>
      <c r="V188" s="98">
        <f t="shared" si="25"/>
        <v>0</v>
      </c>
    </row>
    <row r="189" spans="1:22" ht="15" x14ac:dyDescent="0.25">
      <c r="A189" s="97">
        <f t="shared" si="26"/>
        <v>187</v>
      </c>
      <c r="B189" s="86"/>
      <c r="C189" s="86"/>
      <c r="D189" s="86"/>
      <c r="E189" s="86">
        <v>1</v>
      </c>
      <c r="F189" s="95" t="s">
        <v>83</v>
      </c>
      <c r="G189" s="86"/>
      <c r="H189" s="86">
        <v>0</v>
      </c>
      <c r="I189" s="86">
        <v>0</v>
      </c>
      <c r="J189" s="86">
        <v>0</v>
      </c>
      <c r="K189" s="86">
        <v>0</v>
      </c>
      <c r="L189" s="86">
        <v>0</v>
      </c>
      <c r="M189" s="86">
        <f>VLOOKUP(F189,'Прайс Лазер'!$L$3:$M$9,2,0)</f>
        <v>93</v>
      </c>
      <c r="N189" s="86">
        <v>25</v>
      </c>
      <c r="O189" s="94">
        <f>VLOOKUP(E189,'Прайс Лазер'!$I$4:$J$21,2,0)</f>
        <v>1.1499999999999999</v>
      </c>
      <c r="P189" s="86">
        <f>HLOOKUP('Оценка лазера'!$E189,'Прайс Лазер'!$C$26:$T$34,1+VLOOKUP(F189,'Прайс Лазер'!$A$26:$B$34,2,0),0)</f>
        <v>21.849999999999998</v>
      </c>
      <c r="Q189" s="86">
        <f t="shared" si="20"/>
        <v>0</v>
      </c>
      <c r="R189" s="86">
        <f t="shared" si="21"/>
        <v>0</v>
      </c>
      <c r="S189" s="86">
        <f t="shared" si="22"/>
        <v>0</v>
      </c>
      <c r="T189" s="86">
        <f t="shared" si="24"/>
        <v>0</v>
      </c>
      <c r="U189" s="86">
        <f t="shared" si="23"/>
        <v>0</v>
      </c>
      <c r="V189" s="98">
        <f t="shared" si="25"/>
        <v>0</v>
      </c>
    </row>
    <row r="190" spans="1:22" ht="15" x14ac:dyDescent="0.25">
      <c r="A190" s="97">
        <f t="shared" si="26"/>
        <v>188</v>
      </c>
      <c r="B190" s="86"/>
      <c r="C190" s="86"/>
      <c r="D190" s="86"/>
      <c r="E190" s="86">
        <v>1</v>
      </c>
      <c r="F190" s="95" t="s">
        <v>83</v>
      </c>
      <c r="G190" s="86"/>
      <c r="H190" s="86">
        <v>0</v>
      </c>
      <c r="I190" s="86">
        <v>0</v>
      </c>
      <c r="J190" s="86">
        <v>0</v>
      </c>
      <c r="K190" s="86">
        <v>0</v>
      </c>
      <c r="L190" s="86">
        <v>0</v>
      </c>
      <c r="M190" s="86">
        <f>VLOOKUP(F190,'Прайс Лазер'!$L$3:$M$9,2,0)</f>
        <v>93</v>
      </c>
      <c r="N190" s="86">
        <v>25</v>
      </c>
      <c r="O190" s="94">
        <f>VLOOKUP(E190,'Прайс Лазер'!$I$4:$J$21,2,0)</f>
        <v>1.1499999999999999</v>
      </c>
      <c r="P190" s="86">
        <f>HLOOKUP('Оценка лазера'!$E190,'Прайс Лазер'!$C$26:$T$34,1+VLOOKUP(F190,'Прайс Лазер'!$A$26:$B$34,2,0),0)</f>
        <v>21.849999999999998</v>
      </c>
      <c r="Q190" s="86">
        <f t="shared" si="20"/>
        <v>0</v>
      </c>
      <c r="R190" s="86">
        <f t="shared" si="21"/>
        <v>0</v>
      </c>
      <c r="S190" s="86">
        <f t="shared" si="22"/>
        <v>0</v>
      </c>
      <c r="T190" s="86">
        <f t="shared" si="24"/>
        <v>0</v>
      </c>
      <c r="U190" s="86">
        <f t="shared" si="23"/>
        <v>0</v>
      </c>
      <c r="V190" s="98">
        <f t="shared" si="25"/>
        <v>0</v>
      </c>
    </row>
    <row r="191" spans="1:22" ht="15" x14ac:dyDescent="0.25">
      <c r="A191" s="97">
        <f t="shared" si="26"/>
        <v>189</v>
      </c>
      <c r="B191" s="86"/>
      <c r="C191" s="86"/>
      <c r="D191" s="86"/>
      <c r="E191" s="86">
        <v>1</v>
      </c>
      <c r="F191" s="95" t="s">
        <v>83</v>
      </c>
      <c r="G191" s="86"/>
      <c r="H191" s="86">
        <v>0</v>
      </c>
      <c r="I191" s="86">
        <v>0</v>
      </c>
      <c r="J191" s="86">
        <v>0</v>
      </c>
      <c r="K191" s="86">
        <v>0</v>
      </c>
      <c r="L191" s="86">
        <v>0</v>
      </c>
      <c r="M191" s="86">
        <f>VLOOKUP(F191,'Прайс Лазер'!$L$3:$M$9,2,0)</f>
        <v>93</v>
      </c>
      <c r="N191" s="86">
        <v>25</v>
      </c>
      <c r="O191" s="94">
        <f>VLOOKUP(E191,'Прайс Лазер'!$I$4:$J$21,2,0)</f>
        <v>1.1499999999999999</v>
      </c>
      <c r="P191" s="86">
        <f>HLOOKUP('Оценка лазера'!$E191,'Прайс Лазер'!$C$26:$T$34,1+VLOOKUP(F191,'Прайс Лазер'!$A$26:$B$34,2,0),0)</f>
        <v>21.849999999999998</v>
      </c>
      <c r="Q191" s="86">
        <f t="shared" si="20"/>
        <v>0</v>
      </c>
      <c r="R191" s="86">
        <f t="shared" si="21"/>
        <v>0</v>
      </c>
      <c r="S191" s="86">
        <f t="shared" si="22"/>
        <v>0</v>
      </c>
      <c r="T191" s="86">
        <f t="shared" si="24"/>
        <v>0</v>
      </c>
      <c r="U191" s="86">
        <f t="shared" si="23"/>
        <v>0</v>
      </c>
      <c r="V191" s="98">
        <f t="shared" si="25"/>
        <v>0</v>
      </c>
    </row>
    <row r="192" spans="1:22" ht="15" x14ac:dyDescent="0.25">
      <c r="A192" s="97">
        <f t="shared" si="26"/>
        <v>190</v>
      </c>
      <c r="B192" s="86"/>
      <c r="C192" s="86"/>
      <c r="D192" s="86"/>
      <c r="E192" s="86">
        <v>1</v>
      </c>
      <c r="F192" s="95" t="s">
        <v>83</v>
      </c>
      <c r="G192" s="86"/>
      <c r="H192" s="86">
        <v>0</v>
      </c>
      <c r="I192" s="86">
        <v>0</v>
      </c>
      <c r="J192" s="86">
        <v>0</v>
      </c>
      <c r="K192" s="86">
        <v>0</v>
      </c>
      <c r="L192" s="86">
        <v>0</v>
      </c>
      <c r="M192" s="86">
        <f>VLOOKUP(F192,'Прайс Лазер'!$L$3:$M$9,2,0)</f>
        <v>93</v>
      </c>
      <c r="N192" s="86">
        <v>25</v>
      </c>
      <c r="O192" s="94">
        <f>VLOOKUP(E192,'Прайс Лазер'!$I$4:$J$21,2,0)</f>
        <v>1.1499999999999999</v>
      </c>
      <c r="P192" s="86">
        <f>HLOOKUP('Оценка лазера'!$E192,'Прайс Лазер'!$C$26:$T$34,1+VLOOKUP(F192,'Прайс Лазер'!$A$26:$B$34,2,0),0)</f>
        <v>21.849999999999998</v>
      </c>
      <c r="Q192" s="86">
        <f t="shared" si="20"/>
        <v>0</v>
      </c>
      <c r="R192" s="86">
        <f t="shared" si="21"/>
        <v>0</v>
      </c>
      <c r="S192" s="86">
        <f t="shared" si="22"/>
        <v>0</v>
      </c>
      <c r="T192" s="86">
        <f t="shared" si="24"/>
        <v>0</v>
      </c>
      <c r="U192" s="86">
        <f t="shared" si="23"/>
        <v>0</v>
      </c>
      <c r="V192" s="98">
        <f t="shared" si="25"/>
        <v>0</v>
      </c>
    </row>
    <row r="193" spans="1:25" ht="15" x14ac:dyDescent="0.25">
      <c r="A193" s="97">
        <f t="shared" si="26"/>
        <v>191</v>
      </c>
      <c r="B193" s="86"/>
      <c r="C193" s="86"/>
      <c r="D193" s="86"/>
      <c r="E193" s="86">
        <v>1</v>
      </c>
      <c r="F193" s="95" t="s">
        <v>83</v>
      </c>
      <c r="G193" s="86"/>
      <c r="H193" s="86">
        <v>0</v>
      </c>
      <c r="I193" s="86">
        <v>0</v>
      </c>
      <c r="J193" s="86">
        <v>0</v>
      </c>
      <c r="K193" s="86">
        <v>0</v>
      </c>
      <c r="L193" s="86">
        <v>0</v>
      </c>
      <c r="M193" s="86">
        <f>VLOOKUP(F193,'Прайс Лазер'!$L$3:$M$9,2,0)</f>
        <v>93</v>
      </c>
      <c r="N193" s="86">
        <v>25</v>
      </c>
      <c r="O193" s="94">
        <f>VLOOKUP(E193,'Прайс Лазер'!$I$4:$J$21,2,0)</f>
        <v>1.1499999999999999</v>
      </c>
      <c r="P193" s="86">
        <f>HLOOKUP('Оценка лазера'!$E193,'Прайс Лазер'!$C$26:$T$34,1+VLOOKUP(F193,'Прайс Лазер'!$A$26:$B$34,2,0),0)</f>
        <v>21.849999999999998</v>
      </c>
      <c r="Q193" s="86">
        <f t="shared" si="20"/>
        <v>0</v>
      </c>
      <c r="R193" s="86">
        <f t="shared" si="21"/>
        <v>0</v>
      </c>
      <c r="S193" s="86">
        <f t="shared" si="22"/>
        <v>0</v>
      </c>
      <c r="T193" s="86">
        <f t="shared" si="24"/>
        <v>0</v>
      </c>
      <c r="U193" s="86">
        <f t="shared" si="23"/>
        <v>0</v>
      </c>
      <c r="V193" s="98">
        <f t="shared" si="25"/>
        <v>0</v>
      </c>
    </row>
    <row r="194" spans="1:25" ht="15" x14ac:dyDescent="0.25">
      <c r="A194" s="97">
        <f t="shared" si="26"/>
        <v>192</v>
      </c>
      <c r="B194" s="86"/>
      <c r="C194" s="86"/>
      <c r="D194" s="86"/>
      <c r="E194" s="86">
        <v>1</v>
      </c>
      <c r="F194" s="95" t="s">
        <v>83</v>
      </c>
      <c r="G194" s="86"/>
      <c r="H194" s="86">
        <v>0</v>
      </c>
      <c r="I194" s="86">
        <v>0</v>
      </c>
      <c r="J194" s="86">
        <v>0</v>
      </c>
      <c r="K194" s="86">
        <v>0</v>
      </c>
      <c r="L194" s="86">
        <v>0</v>
      </c>
      <c r="M194" s="86">
        <f>VLOOKUP(F194,'Прайс Лазер'!$L$3:$M$9,2,0)</f>
        <v>93</v>
      </c>
      <c r="N194" s="86">
        <v>25</v>
      </c>
      <c r="O194" s="94">
        <f>VLOOKUP(E194,'Прайс Лазер'!$I$4:$J$21,2,0)</f>
        <v>1.1499999999999999</v>
      </c>
      <c r="P194" s="86">
        <f>HLOOKUP('Оценка лазера'!$E194,'Прайс Лазер'!$C$26:$T$34,1+VLOOKUP(F194,'Прайс Лазер'!$A$26:$B$34,2,0),0)</f>
        <v>21.849999999999998</v>
      </c>
      <c r="Q194" s="86">
        <f t="shared" si="20"/>
        <v>0</v>
      </c>
      <c r="R194" s="86">
        <f t="shared" si="21"/>
        <v>0</v>
      </c>
      <c r="S194" s="86">
        <f t="shared" si="22"/>
        <v>0</v>
      </c>
      <c r="T194" s="86">
        <f t="shared" si="24"/>
        <v>0</v>
      </c>
      <c r="U194" s="86">
        <f t="shared" si="23"/>
        <v>0</v>
      </c>
      <c r="V194" s="98">
        <f t="shared" si="25"/>
        <v>0</v>
      </c>
    </row>
    <row r="195" spans="1:25" ht="15" x14ac:dyDescent="0.25">
      <c r="A195" s="97">
        <f t="shared" si="26"/>
        <v>193</v>
      </c>
      <c r="B195" s="86"/>
      <c r="C195" s="86"/>
      <c r="D195" s="86"/>
      <c r="E195" s="86">
        <v>1</v>
      </c>
      <c r="F195" s="95" t="s">
        <v>83</v>
      </c>
      <c r="G195" s="86"/>
      <c r="H195" s="86">
        <v>0</v>
      </c>
      <c r="I195" s="86">
        <v>0</v>
      </c>
      <c r="J195" s="86">
        <v>0</v>
      </c>
      <c r="K195" s="86">
        <v>0</v>
      </c>
      <c r="L195" s="86">
        <v>0</v>
      </c>
      <c r="M195" s="86">
        <f>VLOOKUP(F195,'Прайс Лазер'!$L$3:$M$9,2,0)</f>
        <v>93</v>
      </c>
      <c r="N195" s="86">
        <v>25</v>
      </c>
      <c r="O195" s="94">
        <f>VLOOKUP(E195,'Прайс Лазер'!$I$4:$J$21,2,0)</f>
        <v>1.1499999999999999</v>
      </c>
      <c r="P195" s="86">
        <f>HLOOKUP('Оценка лазера'!$E195,'Прайс Лазер'!$C$26:$T$34,1+VLOOKUP(F195,'Прайс Лазер'!$A$26:$B$34,2,0),0)</f>
        <v>21.849999999999998</v>
      </c>
      <c r="Q195" s="86">
        <f t="shared" ref="Q195:Q237" si="27">H195*M195</f>
        <v>0</v>
      </c>
      <c r="R195" s="86">
        <f t="shared" ref="R195:R237" si="28">I195*N195</f>
        <v>0</v>
      </c>
      <c r="S195" s="86">
        <f t="shared" ref="S195:S237" si="29">(K195+L195)/1000*1.1*P195+(J195*O195)</f>
        <v>0</v>
      </c>
      <c r="T195" s="86">
        <f t="shared" si="24"/>
        <v>0</v>
      </c>
      <c r="U195" s="86">
        <f t="shared" ref="U195:U237" si="30">D195*T195</f>
        <v>0</v>
      </c>
      <c r="V195" s="98">
        <f t="shared" si="25"/>
        <v>0</v>
      </c>
    </row>
    <row r="196" spans="1:25" ht="15" x14ac:dyDescent="0.25">
      <c r="A196" s="97">
        <f t="shared" si="26"/>
        <v>194</v>
      </c>
      <c r="B196" s="86"/>
      <c r="C196" s="86"/>
      <c r="D196" s="86"/>
      <c r="E196" s="86">
        <v>1</v>
      </c>
      <c r="F196" s="95" t="s">
        <v>83</v>
      </c>
      <c r="G196" s="86"/>
      <c r="H196" s="86">
        <v>0</v>
      </c>
      <c r="I196" s="86">
        <v>0</v>
      </c>
      <c r="J196" s="86">
        <v>0</v>
      </c>
      <c r="K196" s="86">
        <v>0</v>
      </c>
      <c r="L196" s="86">
        <v>0</v>
      </c>
      <c r="M196" s="86">
        <f>VLOOKUP(F196,'Прайс Лазер'!$L$3:$M$9,2,0)</f>
        <v>93</v>
      </c>
      <c r="N196" s="86">
        <v>25</v>
      </c>
      <c r="O196" s="94">
        <f>VLOOKUP(E196,'Прайс Лазер'!$I$4:$J$21,2,0)</f>
        <v>1.1499999999999999</v>
      </c>
      <c r="P196" s="86">
        <f>HLOOKUP('Оценка лазера'!$E196,'Прайс Лазер'!$C$26:$T$34,1+VLOOKUP(F196,'Прайс Лазер'!$A$26:$B$34,2,0),0)</f>
        <v>21.849999999999998</v>
      </c>
      <c r="Q196" s="86">
        <f t="shared" si="27"/>
        <v>0</v>
      </c>
      <c r="R196" s="86">
        <f t="shared" si="28"/>
        <v>0</v>
      </c>
      <c r="S196" s="86">
        <f t="shared" si="29"/>
        <v>0</v>
      </c>
      <c r="T196" s="86">
        <f t="shared" ref="T196:T237" si="31">Q196+R196+S196</f>
        <v>0</v>
      </c>
      <c r="U196" s="86">
        <f t="shared" si="30"/>
        <v>0</v>
      </c>
      <c r="V196" s="98">
        <f t="shared" ref="V196:V237" si="32">U196/1.2</f>
        <v>0</v>
      </c>
    </row>
    <row r="197" spans="1:25" ht="15" x14ac:dyDescent="0.25">
      <c r="A197" s="97">
        <f t="shared" ref="A197:A237" si="33">A196+1</f>
        <v>195</v>
      </c>
      <c r="B197" s="86"/>
      <c r="C197" s="86"/>
      <c r="D197" s="86"/>
      <c r="E197" s="86">
        <v>1</v>
      </c>
      <c r="F197" s="95" t="s">
        <v>83</v>
      </c>
      <c r="G197" s="86"/>
      <c r="H197" s="86">
        <v>0</v>
      </c>
      <c r="I197" s="86">
        <v>0</v>
      </c>
      <c r="J197" s="86">
        <v>0</v>
      </c>
      <c r="K197" s="86">
        <v>0</v>
      </c>
      <c r="L197" s="86">
        <v>0</v>
      </c>
      <c r="M197" s="86">
        <f>VLOOKUP(F197,'Прайс Лазер'!$L$3:$M$9,2,0)</f>
        <v>93</v>
      </c>
      <c r="N197" s="86">
        <v>25</v>
      </c>
      <c r="O197" s="94">
        <f>VLOOKUP(E197,'Прайс Лазер'!$I$4:$J$21,2,0)</f>
        <v>1.1499999999999999</v>
      </c>
      <c r="P197" s="86">
        <f>HLOOKUP('Оценка лазера'!$E197,'Прайс Лазер'!$C$26:$T$34,1+VLOOKUP(F197,'Прайс Лазер'!$A$26:$B$34,2,0),0)</f>
        <v>21.849999999999998</v>
      </c>
      <c r="Q197" s="86">
        <f t="shared" si="27"/>
        <v>0</v>
      </c>
      <c r="R197" s="86">
        <f t="shared" si="28"/>
        <v>0</v>
      </c>
      <c r="S197" s="86">
        <f t="shared" si="29"/>
        <v>0</v>
      </c>
      <c r="T197" s="86">
        <f t="shared" si="31"/>
        <v>0</v>
      </c>
      <c r="U197" s="86">
        <f t="shared" si="30"/>
        <v>0</v>
      </c>
      <c r="V197" s="98">
        <f t="shared" si="32"/>
        <v>0</v>
      </c>
    </row>
    <row r="198" spans="1:25" ht="15" x14ac:dyDescent="0.25">
      <c r="A198" s="97">
        <f t="shared" si="33"/>
        <v>196</v>
      </c>
      <c r="B198" s="86"/>
      <c r="C198" s="86"/>
      <c r="D198" s="86"/>
      <c r="E198" s="86">
        <v>1</v>
      </c>
      <c r="F198" s="95" t="s">
        <v>83</v>
      </c>
      <c r="G198" s="86"/>
      <c r="H198" s="86">
        <v>0</v>
      </c>
      <c r="I198" s="86">
        <v>0</v>
      </c>
      <c r="J198" s="86">
        <v>0</v>
      </c>
      <c r="K198" s="86">
        <v>0</v>
      </c>
      <c r="L198" s="86">
        <v>0</v>
      </c>
      <c r="M198" s="86">
        <f>VLOOKUP(F198,'Прайс Лазер'!$L$3:$M$9,2,0)</f>
        <v>93</v>
      </c>
      <c r="N198" s="86">
        <v>25</v>
      </c>
      <c r="O198" s="94">
        <f>VLOOKUP(E198,'Прайс Лазер'!$I$4:$J$21,2,0)</f>
        <v>1.1499999999999999</v>
      </c>
      <c r="P198" s="86">
        <f>HLOOKUP('Оценка лазера'!$E198,'Прайс Лазер'!$C$26:$T$34,1+VLOOKUP(F198,'Прайс Лазер'!$A$26:$B$34,2,0),0)</f>
        <v>21.849999999999998</v>
      </c>
      <c r="Q198" s="86">
        <f t="shared" si="27"/>
        <v>0</v>
      </c>
      <c r="R198" s="86">
        <f t="shared" si="28"/>
        <v>0</v>
      </c>
      <c r="S198" s="86">
        <f t="shared" si="29"/>
        <v>0</v>
      </c>
      <c r="T198" s="86">
        <f t="shared" si="31"/>
        <v>0</v>
      </c>
      <c r="U198" s="86">
        <f t="shared" si="30"/>
        <v>0</v>
      </c>
      <c r="V198" s="98">
        <f t="shared" si="32"/>
        <v>0</v>
      </c>
    </row>
    <row r="199" spans="1:25" ht="15" x14ac:dyDescent="0.25">
      <c r="A199" s="97">
        <f t="shared" si="33"/>
        <v>197</v>
      </c>
      <c r="B199" s="86"/>
      <c r="C199" s="86"/>
      <c r="D199" s="86"/>
      <c r="E199" s="86">
        <v>1</v>
      </c>
      <c r="F199" s="95" t="s">
        <v>83</v>
      </c>
      <c r="G199" s="86"/>
      <c r="H199" s="86">
        <v>0</v>
      </c>
      <c r="I199" s="86">
        <v>0</v>
      </c>
      <c r="J199" s="86">
        <v>0</v>
      </c>
      <c r="K199" s="86">
        <v>0</v>
      </c>
      <c r="L199" s="86">
        <v>0</v>
      </c>
      <c r="M199" s="86">
        <f>VLOOKUP(F199,'Прайс Лазер'!$L$3:$M$9,2,0)</f>
        <v>93</v>
      </c>
      <c r="N199" s="86">
        <v>25</v>
      </c>
      <c r="O199" s="94">
        <f>VLOOKUP(E199,'Прайс Лазер'!$I$4:$J$21,2,0)</f>
        <v>1.1499999999999999</v>
      </c>
      <c r="P199" s="86">
        <f>HLOOKUP('Оценка лазера'!$E199,'Прайс Лазер'!$C$26:$T$34,1+VLOOKUP(F199,'Прайс Лазер'!$A$26:$B$34,2,0),0)</f>
        <v>21.849999999999998</v>
      </c>
      <c r="Q199" s="86">
        <f t="shared" si="27"/>
        <v>0</v>
      </c>
      <c r="R199" s="86">
        <f t="shared" si="28"/>
        <v>0</v>
      </c>
      <c r="S199" s="86">
        <f t="shared" si="29"/>
        <v>0</v>
      </c>
      <c r="T199" s="86">
        <f t="shared" si="31"/>
        <v>0</v>
      </c>
      <c r="U199" s="86">
        <f t="shared" si="30"/>
        <v>0</v>
      </c>
      <c r="V199" s="98">
        <f t="shared" si="32"/>
        <v>0</v>
      </c>
    </row>
    <row r="200" spans="1:25" ht="15" x14ac:dyDescent="0.25">
      <c r="A200" s="97">
        <f t="shared" si="33"/>
        <v>198</v>
      </c>
      <c r="B200" s="86"/>
      <c r="C200" s="86"/>
      <c r="D200" s="86"/>
      <c r="E200" s="86">
        <v>1</v>
      </c>
      <c r="F200" s="95" t="s">
        <v>83</v>
      </c>
      <c r="G200" s="86"/>
      <c r="H200" s="86">
        <v>0</v>
      </c>
      <c r="I200" s="86">
        <v>0</v>
      </c>
      <c r="J200" s="86">
        <v>0</v>
      </c>
      <c r="K200" s="86">
        <v>0</v>
      </c>
      <c r="L200" s="86">
        <v>0</v>
      </c>
      <c r="M200" s="86">
        <f>VLOOKUP(F200,'Прайс Лазер'!$L$3:$M$9,2,0)</f>
        <v>93</v>
      </c>
      <c r="N200" s="86">
        <v>25</v>
      </c>
      <c r="O200" s="94">
        <f>VLOOKUP(E200,'Прайс Лазер'!$I$4:$J$21,2,0)</f>
        <v>1.1499999999999999</v>
      </c>
      <c r="P200" s="86">
        <f>HLOOKUP('Оценка лазера'!$E200,'Прайс Лазер'!$C$26:$T$34,1+VLOOKUP(F200,'Прайс Лазер'!$A$26:$B$34,2,0),0)</f>
        <v>21.849999999999998</v>
      </c>
      <c r="Q200" s="86">
        <f t="shared" si="27"/>
        <v>0</v>
      </c>
      <c r="R200" s="86">
        <f t="shared" si="28"/>
        <v>0</v>
      </c>
      <c r="S200" s="86">
        <f t="shared" si="29"/>
        <v>0</v>
      </c>
      <c r="T200" s="86">
        <f t="shared" si="31"/>
        <v>0</v>
      </c>
      <c r="U200" s="86">
        <f t="shared" si="30"/>
        <v>0</v>
      </c>
      <c r="V200" s="98">
        <f t="shared" si="32"/>
        <v>0</v>
      </c>
    </row>
    <row r="201" spans="1:25" ht="15" x14ac:dyDescent="0.25">
      <c r="A201" s="97">
        <f t="shared" si="33"/>
        <v>199</v>
      </c>
      <c r="B201" s="86"/>
      <c r="C201" s="86"/>
      <c r="D201" s="86"/>
      <c r="E201" s="86">
        <v>1</v>
      </c>
      <c r="F201" s="95" t="s">
        <v>83</v>
      </c>
      <c r="G201" s="86"/>
      <c r="H201" s="86">
        <v>0</v>
      </c>
      <c r="I201" s="86">
        <v>0</v>
      </c>
      <c r="J201" s="86">
        <v>0</v>
      </c>
      <c r="K201" s="86">
        <v>0</v>
      </c>
      <c r="L201" s="86">
        <v>0</v>
      </c>
      <c r="M201" s="86">
        <f>VLOOKUP(F201,'Прайс Лазер'!$L$3:$M$9,2,0)</f>
        <v>93</v>
      </c>
      <c r="N201" s="86">
        <v>25</v>
      </c>
      <c r="O201" s="94">
        <f>VLOOKUP(E201,'Прайс Лазер'!$I$4:$J$21,2,0)</f>
        <v>1.1499999999999999</v>
      </c>
      <c r="P201" s="86">
        <f>HLOOKUP('Оценка лазера'!$E201,'Прайс Лазер'!$C$26:$T$34,1+VLOOKUP(F201,'Прайс Лазер'!$A$26:$B$34,2,0),0)</f>
        <v>21.849999999999998</v>
      </c>
      <c r="Q201" s="86">
        <f t="shared" si="27"/>
        <v>0</v>
      </c>
      <c r="R201" s="86">
        <f t="shared" si="28"/>
        <v>0</v>
      </c>
      <c r="S201" s="86">
        <f t="shared" si="29"/>
        <v>0</v>
      </c>
      <c r="T201" s="86">
        <f t="shared" si="31"/>
        <v>0</v>
      </c>
      <c r="U201" s="86">
        <f t="shared" si="30"/>
        <v>0</v>
      </c>
      <c r="V201" s="98">
        <f t="shared" si="32"/>
        <v>0</v>
      </c>
    </row>
    <row r="202" spans="1:25" ht="15" x14ac:dyDescent="0.25">
      <c r="A202" s="97">
        <f t="shared" si="33"/>
        <v>200</v>
      </c>
      <c r="B202" s="86"/>
      <c r="C202" s="86"/>
      <c r="D202" s="86"/>
      <c r="E202" s="86">
        <v>1</v>
      </c>
      <c r="F202" s="95" t="s">
        <v>83</v>
      </c>
      <c r="G202" s="86"/>
      <c r="H202" s="86">
        <v>0</v>
      </c>
      <c r="I202" s="86">
        <v>0</v>
      </c>
      <c r="J202" s="86">
        <v>0</v>
      </c>
      <c r="K202" s="86">
        <v>0</v>
      </c>
      <c r="L202" s="86">
        <v>0</v>
      </c>
      <c r="M202" s="86">
        <f>VLOOKUP(F202,'Прайс Лазер'!$L$3:$M$9,2,0)</f>
        <v>93</v>
      </c>
      <c r="N202" s="86">
        <v>25</v>
      </c>
      <c r="O202" s="94">
        <f>VLOOKUP(E202,'Прайс Лазер'!$I$4:$J$21,2,0)</f>
        <v>1.1499999999999999</v>
      </c>
      <c r="P202" s="86">
        <f>HLOOKUP('Оценка лазера'!$E202,'Прайс Лазер'!$C$26:$T$34,1+VLOOKUP(F202,'Прайс Лазер'!$A$26:$B$34,2,0),0)</f>
        <v>21.849999999999998</v>
      </c>
      <c r="Q202" s="86">
        <f t="shared" si="27"/>
        <v>0</v>
      </c>
      <c r="R202" s="86">
        <f t="shared" si="28"/>
        <v>0</v>
      </c>
      <c r="S202" s="86">
        <f t="shared" si="29"/>
        <v>0</v>
      </c>
      <c r="T202" s="86">
        <f t="shared" si="31"/>
        <v>0</v>
      </c>
      <c r="U202" s="86">
        <f t="shared" si="30"/>
        <v>0</v>
      </c>
      <c r="V202" s="98">
        <f t="shared" si="32"/>
        <v>0</v>
      </c>
    </row>
    <row r="203" spans="1:25" ht="15" x14ac:dyDescent="0.25">
      <c r="A203" s="97">
        <f t="shared" si="33"/>
        <v>201</v>
      </c>
      <c r="B203" s="86"/>
      <c r="C203" s="86"/>
      <c r="D203" s="86"/>
      <c r="E203" s="86">
        <v>1</v>
      </c>
      <c r="F203" s="95" t="s">
        <v>83</v>
      </c>
      <c r="G203" s="86"/>
      <c r="H203" s="86">
        <v>0</v>
      </c>
      <c r="I203" s="86">
        <v>0</v>
      </c>
      <c r="J203" s="86">
        <v>0</v>
      </c>
      <c r="K203" s="86">
        <v>0</v>
      </c>
      <c r="L203" s="86">
        <v>0</v>
      </c>
      <c r="M203" s="86">
        <f>VLOOKUP(F203,'Прайс Лазер'!$L$3:$M$9,2,0)</f>
        <v>93</v>
      </c>
      <c r="N203" s="86">
        <v>25</v>
      </c>
      <c r="O203" s="94">
        <f>VLOOKUP(E203,'Прайс Лазер'!$I$4:$J$21,2,0)</f>
        <v>1.1499999999999999</v>
      </c>
      <c r="P203" s="86">
        <f>HLOOKUP('Оценка лазера'!$E203,'Прайс Лазер'!$C$26:$T$34,1+VLOOKUP(F203,'Прайс Лазер'!$A$26:$B$34,2,0),0)</f>
        <v>21.849999999999998</v>
      </c>
      <c r="Q203" s="86">
        <f t="shared" si="27"/>
        <v>0</v>
      </c>
      <c r="R203" s="86">
        <f t="shared" si="28"/>
        <v>0</v>
      </c>
      <c r="S203" s="86">
        <f t="shared" si="29"/>
        <v>0</v>
      </c>
      <c r="T203" s="86">
        <f t="shared" si="31"/>
        <v>0</v>
      </c>
      <c r="U203" s="86">
        <f t="shared" si="30"/>
        <v>0</v>
      </c>
      <c r="V203" s="98">
        <f t="shared" si="32"/>
        <v>0</v>
      </c>
    </row>
    <row r="204" spans="1:25" ht="15" x14ac:dyDescent="0.25">
      <c r="A204" s="97">
        <f t="shared" si="33"/>
        <v>202</v>
      </c>
      <c r="B204" s="86"/>
      <c r="C204" s="86"/>
      <c r="D204" s="86"/>
      <c r="E204" s="86">
        <v>1</v>
      </c>
      <c r="F204" s="95" t="s">
        <v>83</v>
      </c>
      <c r="G204" s="86"/>
      <c r="H204" s="86">
        <v>0</v>
      </c>
      <c r="I204" s="86">
        <v>0</v>
      </c>
      <c r="J204" s="86">
        <v>0</v>
      </c>
      <c r="K204" s="86">
        <v>0</v>
      </c>
      <c r="L204" s="86">
        <v>0</v>
      </c>
      <c r="M204" s="86">
        <f>VLOOKUP(F204,'Прайс Лазер'!$L$3:$M$9,2,0)</f>
        <v>93</v>
      </c>
      <c r="N204" s="86">
        <v>25</v>
      </c>
      <c r="O204" s="94">
        <f>VLOOKUP(E204,'Прайс Лазер'!$I$4:$J$21,2,0)</f>
        <v>1.1499999999999999</v>
      </c>
      <c r="P204" s="86">
        <f>HLOOKUP('Оценка лазера'!$E204,'Прайс Лазер'!$C$26:$T$34,1+VLOOKUP(F204,'Прайс Лазер'!$A$26:$B$34,2,0),0)</f>
        <v>21.849999999999998</v>
      </c>
      <c r="Q204" s="86">
        <f t="shared" si="27"/>
        <v>0</v>
      </c>
      <c r="R204" s="86">
        <f t="shared" si="28"/>
        <v>0</v>
      </c>
      <c r="S204" s="86">
        <f t="shared" si="29"/>
        <v>0</v>
      </c>
      <c r="T204" s="86">
        <f t="shared" si="31"/>
        <v>0</v>
      </c>
      <c r="U204" s="86">
        <f t="shared" si="30"/>
        <v>0</v>
      </c>
      <c r="V204" s="98">
        <f t="shared" si="32"/>
        <v>0</v>
      </c>
    </row>
    <row r="205" spans="1:25" ht="15" x14ac:dyDescent="0.25">
      <c r="A205" s="97">
        <f t="shared" si="33"/>
        <v>203</v>
      </c>
      <c r="B205" s="86"/>
      <c r="C205" s="86"/>
      <c r="D205" s="86"/>
      <c r="E205" s="86">
        <v>1</v>
      </c>
      <c r="F205" s="95" t="s">
        <v>83</v>
      </c>
      <c r="G205" s="86"/>
      <c r="H205" s="86">
        <v>0</v>
      </c>
      <c r="I205" s="86">
        <v>0</v>
      </c>
      <c r="J205" s="86">
        <v>0</v>
      </c>
      <c r="K205" s="86">
        <v>0</v>
      </c>
      <c r="L205" s="86">
        <v>0</v>
      </c>
      <c r="M205" s="86">
        <f>VLOOKUP(F205,'Прайс Лазер'!$L$3:$M$9,2,0)</f>
        <v>93</v>
      </c>
      <c r="N205" s="86">
        <v>25</v>
      </c>
      <c r="O205" s="94">
        <f>VLOOKUP(E205,'Прайс Лазер'!$I$4:$J$21,2,0)</f>
        <v>1.1499999999999999</v>
      </c>
      <c r="P205" s="86">
        <f>HLOOKUP('Оценка лазера'!$E205,'Прайс Лазер'!$C$26:$T$34,1+VLOOKUP(F205,'Прайс Лазер'!$A$26:$B$34,2,0),0)</f>
        <v>21.849999999999998</v>
      </c>
      <c r="Q205" s="86">
        <f t="shared" si="27"/>
        <v>0</v>
      </c>
      <c r="R205" s="86">
        <f t="shared" si="28"/>
        <v>0</v>
      </c>
      <c r="S205" s="86">
        <f t="shared" si="29"/>
        <v>0</v>
      </c>
      <c r="T205" s="86">
        <f t="shared" si="31"/>
        <v>0</v>
      </c>
      <c r="U205" s="86">
        <f t="shared" si="30"/>
        <v>0</v>
      </c>
      <c r="V205" s="98">
        <f t="shared" si="32"/>
        <v>0</v>
      </c>
    </row>
    <row r="206" spans="1:25" ht="15" x14ac:dyDescent="0.25">
      <c r="A206" s="97">
        <f t="shared" si="33"/>
        <v>204</v>
      </c>
      <c r="B206" s="86"/>
      <c r="C206" s="86"/>
      <c r="D206" s="86"/>
      <c r="E206" s="86">
        <v>1</v>
      </c>
      <c r="F206" s="95" t="s">
        <v>83</v>
      </c>
      <c r="G206" s="86"/>
      <c r="H206" s="86">
        <v>0</v>
      </c>
      <c r="I206" s="86">
        <v>0</v>
      </c>
      <c r="J206" s="86">
        <v>0</v>
      </c>
      <c r="K206" s="86">
        <v>0</v>
      </c>
      <c r="L206" s="86">
        <v>0</v>
      </c>
      <c r="M206" s="86">
        <f>VLOOKUP(F206,'Прайс Лазер'!$L$3:$M$9,2,0)</f>
        <v>93</v>
      </c>
      <c r="N206" s="86">
        <v>25</v>
      </c>
      <c r="O206" s="94">
        <f>VLOOKUP(E206,'Прайс Лазер'!$I$4:$J$21,2,0)</f>
        <v>1.1499999999999999</v>
      </c>
      <c r="P206" s="86">
        <f>HLOOKUP('Оценка лазера'!$E206,'Прайс Лазер'!$C$26:$T$34,1+VLOOKUP(F206,'Прайс Лазер'!$A$26:$B$34,2,0),0)</f>
        <v>21.849999999999998</v>
      </c>
      <c r="Q206" s="86">
        <f t="shared" si="27"/>
        <v>0</v>
      </c>
      <c r="R206" s="86">
        <f t="shared" si="28"/>
        <v>0</v>
      </c>
      <c r="S206" s="86">
        <f t="shared" si="29"/>
        <v>0</v>
      </c>
      <c r="T206" s="86">
        <f t="shared" si="31"/>
        <v>0</v>
      </c>
      <c r="U206" s="86">
        <f t="shared" si="30"/>
        <v>0</v>
      </c>
      <c r="V206" s="98">
        <f t="shared" si="32"/>
        <v>0</v>
      </c>
      <c r="Y206" s="13"/>
    </row>
    <row r="207" spans="1:25" ht="15" x14ac:dyDescent="0.25">
      <c r="A207" s="97">
        <f t="shared" si="33"/>
        <v>205</v>
      </c>
      <c r="B207" s="86"/>
      <c r="C207" s="86"/>
      <c r="D207" s="86"/>
      <c r="E207" s="86">
        <v>1</v>
      </c>
      <c r="F207" s="95" t="s">
        <v>83</v>
      </c>
      <c r="G207" s="86"/>
      <c r="H207" s="86">
        <v>0</v>
      </c>
      <c r="I207" s="86">
        <v>0</v>
      </c>
      <c r="J207" s="86">
        <v>0</v>
      </c>
      <c r="K207" s="86">
        <v>0</v>
      </c>
      <c r="L207" s="86">
        <v>0</v>
      </c>
      <c r="M207" s="86">
        <f>VLOOKUP(F207,'Прайс Лазер'!$L$3:$M$9,2,0)</f>
        <v>93</v>
      </c>
      <c r="N207" s="86">
        <v>25</v>
      </c>
      <c r="O207" s="94">
        <f>VLOOKUP(E207,'Прайс Лазер'!$I$4:$J$21,2,0)</f>
        <v>1.1499999999999999</v>
      </c>
      <c r="P207" s="86">
        <f>HLOOKUP('Оценка лазера'!$E207,'Прайс Лазер'!$C$26:$T$34,1+VLOOKUP(F207,'Прайс Лазер'!$A$26:$B$34,2,0),0)</f>
        <v>21.849999999999998</v>
      </c>
      <c r="Q207" s="86">
        <f t="shared" si="27"/>
        <v>0</v>
      </c>
      <c r="R207" s="86">
        <f t="shared" si="28"/>
        <v>0</v>
      </c>
      <c r="S207" s="86">
        <f t="shared" si="29"/>
        <v>0</v>
      </c>
      <c r="T207" s="86">
        <f t="shared" si="31"/>
        <v>0</v>
      </c>
      <c r="U207" s="86">
        <f t="shared" si="30"/>
        <v>0</v>
      </c>
      <c r="V207" s="98">
        <f t="shared" si="32"/>
        <v>0</v>
      </c>
    </row>
    <row r="208" spans="1:25" ht="15" x14ac:dyDescent="0.25">
      <c r="A208" s="97">
        <f t="shared" si="33"/>
        <v>206</v>
      </c>
      <c r="B208" s="86"/>
      <c r="C208" s="86"/>
      <c r="D208" s="86"/>
      <c r="E208" s="86">
        <v>1</v>
      </c>
      <c r="F208" s="95" t="s">
        <v>83</v>
      </c>
      <c r="G208" s="86"/>
      <c r="H208" s="86">
        <v>0</v>
      </c>
      <c r="I208" s="86">
        <v>0</v>
      </c>
      <c r="J208" s="86">
        <v>0</v>
      </c>
      <c r="K208" s="86">
        <v>0</v>
      </c>
      <c r="L208" s="86">
        <v>0</v>
      </c>
      <c r="M208" s="86">
        <f>VLOOKUP(F208,'Прайс Лазер'!$L$3:$M$9,2,0)</f>
        <v>93</v>
      </c>
      <c r="N208" s="86">
        <v>25</v>
      </c>
      <c r="O208" s="94">
        <f>VLOOKUP(E208,'Прайс Лазер'!$I$4:$J$21,2,0)</f>
        <v>1.1499999999999999</v>
      </c>
      <c r="P208" s="86">
        <f>HLOOKUP('Оценка лазера'!$E208,'Прайс Лазер'!$C$26:$T$34,1+VLOOKUP(F208,'Прайс Лазер'!$A$26:$B$34,2,0),0)</f>
        <v>21.849999999999998</v>
      </c>
      <c r="Q208" s="86">
        <f t="shared" si="27"/>
        <v>0</v>
      </c>
      <c r="R208" s="86">
        <f t="shared" si="28"/>
        <v>0</v>
      </c>
      <c r="S208" s="86">
        <f t="shared" si="29"/>
        <v>0</v>
      </c>
      <c r="T208" s="86">
        <f t="shared" si="31"/>
        <v>0</v>
      </c>
      <c r="U208" s="86">
        <f t="shared" si="30"/>
        <v>0</v>
      </c>
      <c r="V208" s="98">
        <f t="shared" si="32"/>
        <v>0</v>
      </c>
    </row>
    <row r="209" spans="1:22" ht="15" x14ac:dyDescent="0.25">
      <c r="A209" s="97">
        <f t="shared" si="33"/>
        <v>207</v>
      </c>
      <c r="B209" s="86"/>
      <c r="C209" s="86"/>
      <c r="D209" s="86"/>
      <c r="E209" s="86">
        <v>1</v>
      </c>
      <c r="F209" s="95" t="s">
        <v>83</v>
      </c>
      <c r="G209" s="86"/>
      <c r="H209" s="86">
        <v>0</v>
      </c>
      <c r="I209" s="86">
        <v>0</v>
      </c>
      <c r="J209" s="86">
        <v>0</v>
      </c>
      <c r="K209" s="86">
        <v>0</v>
      </c>
      <c r="L209" s="86">
        <v>0</v>
      </c>
      <c r="M209" s="86">
        <f>VLOOKUP(F209,'Прайс Лазер'!$L$3:$M$9,2,0)</f>
        <v>93</v>
      </c>
      <c r="N209" s="86">
        <v>25</v>
      </c>
      <c r="O209" s="94">
        <f>VLOOKUP(E209,'Прайс Лазер'!$I$4:$J$21,2,0)</f>
        <v>1.1499999999999999</v>
      </c>
      <c r="P209" s="86">
        <f>HLOOKUP('Оценка лазера'!$E209,'Прайс Лазер'!$C$26:$T$34,1+VLOOKUP(F209,'Прайс Лазер'!$A$26:$B$34,2,0),0)</f>
        <v>21.849999999999998</v>
      </c>
      <c r="Q209" s="86">
        <f t="shared" si="27"/>
        <v>0</v>
      </c>
      <c r="R209" s="86">
        <f t="shared" si="28"/>
        <v>0</v>
      </c>
      <c r="S209" s="86">
        <f t="shared" si="29"/>
        <v>0</v>
      </c>
      <c r="T209" s="86">
        <f t="shared" si="31"/>
        <v>0</v>
      </c>
      <c r="U209" s="86">
        <f t="shared" si="30"/>
        <v>0</v>
      </c>
      <c r="V209" s="98">
        <f t="shared" si="32"/>
        <v>0</v>
      </c>
    </row>
    <row r="210" spans="1:22" ht="15" x14ac:dyDescent="0.25">
      <c r="A210" s="97">
        <f t="shared" si="33"/>
        <v>208</v>
      </c>
      <c r="B210" s="86"/>
      <c r="C210" s="86"/>
      <c r="D210" s="86"/>
      <c r="E210" s="86">
        <v>1</v>
      </c>
      <c r="F210" s="95" t="s">
        <v>83</v>
      </c>
      <c r="G210" s="86"/>
      <c r="H210" s="86">
        <v>0</v>
      </c>
      <c r="I210" s="86">
        <v>0</v>
      </c>
      <c r="J210" s="86">
        <v>0</v>
      </c>
      <c r="K210" s="86">
        <v>0</v>
      </c>
      <c r="L210" s="86">
        <v>0</v>
      </c>
      <c r="M210" s="86">
        <f>VLOOKUP(F210,'Прайс Лазер'!$L$3:$M$9,2,0)</f>
        <v>93</v>
      </c>
      <c r="N210" s="86">
        <v>25</v>
      </c>
      <c r="O210" s="94">
        <f>VLOOKUP(E210,'Прайс Лазер'!$I$4:$J$21,2,0)</f>
        <v>1.1499999999999999</v>
      </c>
      <c r="P210" s="86">
        <f>HLOOKUP('Оценка лазера'!$E210,'Прайс Лазер'!$C$26:$T$34,1+VLOOKUP(F210,'Прайс Лазер'!$A$26:$B$34,2,0),0)</f>
        <v>21.849999999999998</v>
      </c>
      <c r="Q210" s="86">
        <f t="shared" si="27"/>
        <v>0</v>
      </c>
      <c r="R210" s="86">
        <f t="shared" si="28"/>
        <v>0</v>
      </c>
      <c r="S210" s="86">
        <f t="shared" si="29"/>
        <v>0</v>
      </c>
      <c r="T210" s="86">
        <f t="shared" si="31"/>
        <v>0</v>
      </c>
      <c r="U210" s="86">
        <f t="shared" si="30"/>
        <v>0</v>
      </c>
      <c r="V210" s="98">
        <f t="shared" si="32"/>
        <v>0</v>
      </c>
    </row>
    <row r="211" spans="1:22" ht="15" x14ac:dyDescent="0.25">
      <c r="A211" s="97">
        <f t="shared" si="33"/>
        <v>209</v>
      </c>
      <c r="B211" s="86"/>
      <c r="C211" s="86"/>
      <c r="D211" s="86"/>
      <c r="E211" s="86">
        <v>1</v>
      </c>
      <c r="F211" s="95" t="s">
        <v>83</v>
      </c>
      <c r="G211" s="86"/>
      <c r="H211" s="86">
        <v>0</v>
      </c>
      <c r="I211" s="86">
        <v>0</v>
      </c>
      <c r="J211" s="86">
        <v>0</v>
      </c>
      <c r="K211" s="86">
        <v>0</v>
      </c>
      <c r="L211" s="86">
        <v>0</v>
      </c>
      <c r="M211" s="86">
        <f>VLOOKUP(F211,'Прайс Лазер'!$L$3:$M$9,2,0)</f>
        <v>93</v>
      </c>
      <c r="N211" s="86">
        <v>25</v>
      </c>
      <c r="O211" s="94">
        <f>VLOOKUP(E211,'Прайс Лазер'!$I$4:$J$21,2,0)</f>
        <v>1.1499999999999999</v>
      </c>
      <c r="P211" s="86">
        <f>HLOOKUP('Оценка лазера'!$E211,'Прайс Лазер'!$C$26:$T$34,1+VLOOKUP(F211,'Прайс Лазер'!$A$26:$B$34,2,0),0)</f>
        <v>21.849999999999998</v>
      </c>
      <c r="Q211" s="86">
        <f t="shared" si="27"/>
        <v>0</v>
      </c>
      <c r="R211" s="86">
        <f t="shared" si="28"/>
        <v>0</v>
      </c>
      <c r="S211" s="86">
        <f t="shared" si="29"/>
        <v>0</v>
      </c>
      <c r="T211" s="86">
        <f t="shared" si="31"/>
        <v>0</v>
      </c>
      <c r="U211" s="86">
        <f t="shared" si="30"/>
        <v>0</v>
      </c>
      <c r="V211" s="98">
        <f t="shared" si="32"/>
        <v>0</v>
      </c>
    </row>
    <row r="212" spans="1:22" ht="15" x14ac:dyDescent="0.25">
      <c r="A212" s="97">
        <f t="shared" si="33"/>
        <v>210</v>
      </c>
      <c r="B212" s="86"/>
      <c r="C212" s="86"/>
      <c r="D212" s="86"/>
      <c r="E212" s="86">
        <v>1</v>
      </c>
      <c r="F212" s="95" t="s">
        <v>83</v>
      </c>
      <c r="G212" s="86"/>
      <c r="H212" s="86">
        <v>0</v>
      </c>
      <c r="I212" s="86">
        <v>0</v>
      </c>
      <c r="J212" s="86">
        <v>0</v>
      </c>
      <c r="K212" s="86">
        <v>0</v>
      </c>
      <c r="L212" s="86">
        <v>0</v>
      </c>
      <c r="M212" s="86">
        <f>VLOOKUP(F212,'Прайс Лазер'!$L$3:$M$9,2,0)</f>
        <v>93</v>
      </c>
      <c r="N212" s="86">
        <v>25</v>
      </c>
      <c r="O212" s="94">
        <f>VLOOKUP(E212,'Прайс Лазер'!$I$4:$J$21,2,0)</f>
        <v>1.1499999999999999</v>
      </c>
      <c r="P212" s="86">
        <f>HLOOKUP('Оценка лазера'!$E212,'Прайс Лазер'!$C$26:$T$34,1+VLOOKUP(F212,'Прайс Лазер'!$A$26:$B$34,2,0),0)</f>
        <v>21.849999999999998</v>
      </c>
      <c r="Q212" s="86">
        <f t="shared" si="27"/>
        <v>0</v>
      </c>
      <c r="R212" s="86">
        <f t="shared" si="28"/>
        <v>0</v>
      </c>
      <c r="S212" s="86">
        <f t="shared" si="29"/>
        <v>0</v>
      </c>
      <c r="T212" s="86">
        <f t="shared" si="31"/>
        <v>0</v>
      </c>
      <c r="U212" s="86">
        <f t="shared" si="30"/>
        <v>0</v>
      </c>
      <c r="V212" s="98">
        <f t="shared" si="32"/>
        <v>0</v>
      </c>
    </row>
    <row r="213" spans="1:22" ht="15" x14ac:dyDescent="0.25">
      <c r="A213" s="97">
        <f t="shared" si="33"/>
        <v>211</v>
      </c>
      <c r="B213" s="86"/>
      <c r="C213" s="86"/>
      <c r="D213" s="86"/>
      <c r="E213" s="86">
        <v>1</v>
      </c>
      <c r="F213" s="95" t="s">
        <v>83</v>
      </c>
      <c r="G213" s="86"/>
      <c r="H213" s="86">
        <v>0</v>
      </c>
      <c r="I213" s="86">
        <v>0</v>
      </c>
      <c r="J213" s="86">
        <v>0</v>
      </c>
      <c r="K213" s="86">
        <v>0</v>
      </c>
      <c r="L213" s="86">
        <v>0</v>
      </c>
      <c r="M213" s="86">
        <f>VLOOKUP(F213,'Прайс Лазер'!$L$3:$M$9,2,0)</f>
        <v>93</v>
      </c>
      <c r="N213" s="86">
        <v>25</v>
      </c>
      <c r="O213" s="94">
        <f>VLOOKUP(E213,'Прайс Лазер'!$I$4:$J$21,2,0)</f>
        <v>1.1499999999999999</v>
      </c>
      <c r="P213" s="86">
        <f>HLOOKUP('Оценка лазера'!$E213,'Прайс Лазер'!$C$26:$T$34,1+VLOOKUP(F213,'Прайс Лазер'!$A$26:$B$34,2,0),0)</f>
        <v>21.849999999999998</v>
      </c>
      <c r="Q213" s="86">
        <f t="shared" si="27"/>
        <v>0</v>
      </c>
      <c r="R213" s="86">
        <f t="shared" si="28"/>
        <v>0</v>
      </c>
      <c r="S213" s="86">
        <f t="shared" si="29"/>
        <v>0</v>
      </c>
      <c r="T213" s="86">
        <f t="shared" si="31"/>
        <v>0</v>
      </c>
      <c r="U213" s="86">
        <f t="shared" si="30"/>
        <v>0</v>
      </c>
      <c r="V213" s="98">
        <f t="shared" si="32"/>
        <v>0</v>
      </c>
    </row>
    <row r="214" spans="1:22" ht="15" x14ac:dyDescent="0.25">
      <c r="A214" s="97">
        <f t="shared" si="33"/>
        <v>212</v>
      </c>
      <c r="B214" s="86"/>
      <c r="C214" s="86"/>
      <c r="D214" s="86"/>
      <c r="E214" s="86">
        <v>1</v>
      </c>
      <c r="F214" s="95" t="s">
        <v>83</v>
      </c>
      <c r="G214" s="86"/>
      <c r="H214" s="86">
        <v>0</v>
      </c>
      <c r="I214" s="86">
        <v>0</v>
      </c>
      <c r="J214" s="86">
        <v>0</v>
      </c>
      <c r="K214" s="86">
        <v>0</v>
      </c>
      <c r="L214" s="86">
        <v>0</v>
      </c>
      <c r="M214" s="86">
        <f>VLOOKUP(F214,'Прайс Лазер'!$L$3:$M$9,2,0)</f>
        <v>93</v>
      </c>
      <c r="N214" s="86">
        <v>25</v>
      </c>
      <c r="O214" s="94">
        <f>VLOOKUP(E214,'Прайс Лазер'!$I$4:$J$21,2,0)</f>
        <v>1.1499999999999999</v>
      </c>
      <c r="P214" s="86">
        <f>HLOOKUP('Оценка лазера'!$E214,'Прайс Лазер'!$C$26:$T$34,1+VLOOKUP(F214,'Прайс Лазер'!$A$26:$B$34,2,0),0)</f>
        <v>21.849999999999998</v>
      </c>
      <c r="Q214" s="86">
        <f t="shared" si="27"/>
        <v>0</v>
      </c>
      <c r="R214" s="86">
        <f t="shared" si="28"/>
        <v>0</v>
      </c>
      <c r="S214" s="86">
        <f t="shared" si="29"/>
        <v>0</v>
      </c>
      <c r="T214" s="86">
        <f t="shared" si="31"/>
        <v>0</v>
      </c>
      <c r="U214" s="86">
        <f t="shared" si="30"/>
        <v>0</v>
      </c>
      <c r="V214" s="98">
        <f t="shared" si="32"/>
        <v>0</v>
      </c>
    </row>
    <row r="215" spans="1:22" ht="15" x14ac:dyDescent="0.25">
      <c r="A215" s="97">
        <f t="shared" si="33"/>
        <v>213</v>
      </c>
      <c r="B215" s="86"/>
      <c r="C215" s="86"/>
      <c r="D215" s="86"/>
      <c r="E215" s="86">
        <v>1</v>
      </c>
      <c r="F215" s="95" t="s">
        <v>83</v>
      </c>
      <c r="G215" s="86"/>
      <c r="H215" s="86">
        <v>0</v>
      </c>
      <c r="I215" s="86">
        <v>0</v>
      </c>
      <c r="J215" s="86">
        <v>0</v>
      </c>
      <c r="K215" s="86">
        <v>0</v>
      </c>
      <c r="L215" s="86">
        <v>0</v>
      </c>
      <c r="M215" s="86">
        <f>VLOOKUP(F215,'Прайс Лазер'!$L$3:$M$9,2,0)</f>
        <v>93</v>
      </c>
      <c r="N215" s="86">
        <v>25</v>
      </c>
      <c r="O215" s="94">
        <f>VLOOKUP(E215,'Прайс Лазер'!$I$4:$J$21,2,0)</f>
        <v>1.1499999999999999</v>
      </c>
      <c r="P215" s="86">
        <f>HLOOKUP('Оценка лазера'!$E215,'Прайс Лазер'!$C$26:$T$34,1+VLOOKUP(F215,'Прайс Лазер'!$A$26:$B$34,2,0),0)</f>
        <v>21.849999999999998</v>
      </c>
      <c r="Q215" s="86">
        <f t="shared" si="27"/>
        <v>0</v>
      </c>
      <c r="R215" s="86">
        <f t="shared" si="28"/>
        <v>0</v>
      </c>
      <c r="S215" s="86">
        <f t="shared" si="29"/>
        <v>0</v>
      </c>
      <c r="T215" s="86">
        <f t="shared" si="31"/>
        <v>0</v>
      </c>
      <c r="U215" s="86">
        <f t="shared" si="30"/>
        <v>0</v>
      </c>
      <c r="V215" s="98">
        <f t="shared" si="32"/>
        <v>0</v>
      </c>
    </row>
    <row r="216" spans="1:22" ht="15" x14ac:dyDescent="0.25">
      <c r="A216" s="97">
        <f t="shared" si="33"/>
        <v>214</v>
      </c>
      <c r="B216" s="86"/>
      <c r="C216" s="86"/>
      <c r="D216" s="86"/>
      <c r="E216" s="86">
        <v>1</v>
      </c>
      <c r="F216" s="95" t="s">
        <v>83</v>
      </c>
      <c r="G216" s="86"/>
      <c r="H216" s="86">
        <v>0</v>
      </c>
      <c r="I216" s="86">
        <v>0</v>
      </c>
      <c r="J216" s="86">
        <v>0</v>
      </c>
      <c r="K216" s="86">
        <v>0</v>
      </c>
      <c r="L216" s="86">
        <v>0</v>
      </c>
      <c r="M216" s="86">
        <f>VLOOKUP(F216,'Прайс Лазер'!$L$3:$M$9,2,0)</f>
        <v>93</v>
      </c>
      <c r="N216" s="86">
        <v>25</v>
      </c>
      <c r="O216" s="94">
        <f>VLOOKUP(E216,'Прайс Лазер'!$I$4:$J$21,2,0)</f>
        <v>1.1499999999999999</v>
      </c>
      <c r="P216" s="86">
        <f>HLOOKUP('Оценка лазера'!$E216,'Прайс Лазер'!$C$26:$T$34,1+VLOOKUP(F216,'Прайс Лазер'!$A$26:$B$34,2,0),0)</f>
        <v>21.849999999999998</v>
      </c>
      <c r="Q216" s="86">
        <f t="shared" si="27"/>
        <v>0</v>
      </c>
      <c r="R216" s="86">
        <f t="shared" si="28"/>
        <v>0</v>
      </c>
      <c r="S216" s="86">
        <f t="shared" si="29"/>
        <v>0</v>
      </c>
      <c r="T216" s="86">
        <f t="shared" si="31"/>
        <v>0</v>
      </c>
      <c r="U216" s="86">
        <f t="shared" si="30"/>
        <v>0</v>
      </c>
      <c r="V216" s="98">
        <f t="shared" si="32"/>
        <v>0</v>
      </c>
    </row>
    <row r="217" spans="1:22" ht="15" x14ac:dyDescent="0.25">
      <c r="A217" s="97">
        <f t="shared" si="33"/>
        <v>215</v>
      </c>
      <c r="B217" s="86"/>
      <c r="C217" s="86"/>
      <c r="D217" s="86"/>
      <c r="E217" s="86">
        <v>1</v>
      </c>
      <c r="F217" s="95" t="s">
        <v>83</v>
      </c>
      <c r="G217" s="86"/>
      <c r="H217" s="86">
        <v>0</v>
      </c>
      <c r="I217" s="86">
        <v>0</v>
      </c>
      <c r="J217" s="86">
        <v>0</v>
      </c>
      <c r="K217" s="86">
        <v>0</v>
      </c>
      <c r="L217" s="86">
        <v>0</v>
      </c>
      <c r="M217" s="86">
        <f>VLOOKUP(F217,'Прайс Лазер'!$L$3:$M$9,2,0)</f>
        <v>93</v>
      </c>
      <c r="N217" s="86">
        <v>25</v>
      </c>
      <c r="O217" s="94">
        <f>VLOOKUP(E217,'Прайс Лазер'!$I$4:$J$21,2,0)</f>
        <v>1.1499999999999999</v>
      </c>
      <c r="P217" s="86">
        <f>HLOOKUP('Оценка лазера'!$E217,'Прайс Лазер'!$C$26:$T$34,1+VLOOKUP(F217,'Прайс Лазер'!$A$26:$B$34,2,0),0)</f>
        <v>21.849999999999998</v>
      </c>
      <c r="Q217" s="86">
        <f t="shared" si="27"/>
        <v>0</v>
      </c>
      <c r="R217" s="86">
        <f t="shared" si="28"/>
        <v>0</v>
      </c>
      <c r="S217" s="86">
        <f t="shared" si="29"/>
        <v>0</v>
      </c>
      <c r="T217" s="86">
        <f t="shared" si="31"/>
        <v>0</v>
      </c>
      <c r="U217" s="86">
        <f t="shared" si="30"/>
        <v>0</v>
      </c>
      <c r="V217" s="98">
        <f t="shared" si="32"/>
        <v>0</v>
      </c>
    </row>
    <row r="218" spans="1:22" ht="15" x14ac:dyDescent="0.25">
      <c r="A218" s="97">
        <f t="shared" si="33"/>
        <v>216</v>
      </c>
      <c r="B218" s="86"/>
      <c r="C218" s="86"/>
      <c r="D218" s="86"/>
      <c r="E218" s="86">
        <v>1</v>
      </c>
      <c r="F218" s="95" t="s">
        <v>83</v>
      </c>
      <c r="G218" s="86"/>
      <c r="H218" s="86">
        <v>0</v>
      </c>
      <c r="I218" s="86">
        <v>0</v>
      </c>
      <c r="J218" s="86">
        <v>0</v>
      </c>
      <c r="K218" s="86">
        <v>0</v>
      </c>
      <c r="L218" s="86">
        <v>0</v>
      </c>
      <c r="M218" s="86">
        <f>VLOOKUP(F218,'Прайс Лазер'!$L$3:$M$9,2,0)</f>
        <v>93</v>
      </c>
      <c r="N218" s="86">
        <v>25</v>
      </c>
      <c r="O218" s="94">
        <f>VLOOKUP(E218,'Прайс Лазер'!$I$4:$J$21,2,0)</f>
        <v>1.1499999999999999</v>
      </c>
      <c r="P218" s="86">
        <f>HLOOKUP('Оценка лазера'!$E218,'Прайс Лазер'!$C$26:$T$34,1+VLOOKUP(F218,'Прайс Лазер'!$A$26:$B$34,2,0),0)</f>
        <v>21.849999999999998</v>
      </c>
      <c r="Q218" s="86">
        <f t="shared" si="27"/>
        <v>0</v>
      </c>
      <c r="R218" s="86">
        <f t="shared" si="28"/>
        <v>0</v>
      </c>
      <c r="S218" s="86">
        <f t="shared" si="29"/>
        <v>0</v>
      </c>
      <c r="T218" s="86">
        <f t="shared" si="31"/>
        <v>0</v>
      </c>
      <c r="U218" s="86">
        <f t="shared" si="30"/>
        <v>0</v>
      </c>
      <c r="V218" s="98">
        <f t="shared" si="32"/>
        <v>0</v>
      </c>
    </row>
    <row r="219" spans="1:22" ht="15" x14ac:dyDescent="0.25">
      <c r="A219" s="97">
        <f t="shared" si="33"/>
        <v>217</v>
      </c>
      <c r="B219" s="86"/>
      <c r="C219" s="86"/>
      <c r="D219" s="86"/>
      <c r="E219" s="86">
        <v>1</v>
      </c>
      <c r="F219" s="95" t="s">
        <v>83</v>
      </c>
      <c r="G219" s="86"/>
      <c r="H219" s="86">
        <v>0</v>
      </c>
      <c r="I219" s="86">
        <v>0</v>
      </c>
      <c r="J219" s="86">
        <v>0</v>
      </c>
      <c r="K219" s="86">
        <v>0</v>
      </c>
      <c r="L219" s="86">
        <v>0</v>
      </c>
      <c r="M219" s="86">
        <f>VLOOKUP(F219,'Прайс Лазер'!$L$3:$M$9,2,0)</f>
        <v>93</v>
      </c>
      <c r="N219" s="86">
        <v>25</v>
      </c>
      <c r="O219" s="94">
        <f>VLOOKUP(E219,'Прайс Лазер'!$I$4:$J$21,2,0)</f>
        <v>1.1499999999999999</v>
      </c>
      <c r="P219" s="86">
        <f>HLOOKUP('Оценка лазера'!$E219,'Прайс Лазер'!$C$26:$T$34,1+VLOOKUP(F219,'Прайс Лазер'!$A$26:$B$34,2,0),0)</f>
        <v>21.849999999999998</v>
      </c>
      <c r="Q219" s="86">
        <f t="shared" si="27"/>
        <v>0</v>
      </c>
      <c r="R219" s="86">
        <f t="shared" si="28"/>
        <v>0</v>
      </c>
      <c r="S219" s="86">
        <f t="shared" si="29"/>
        <v>0</v>
      </c>
      <c r="T219" s="86">
        <f t="shared" si="31"/>
        <v>0</v>
      </c>
      <c r="U219" s="86">
        <f t="shared" si="30"/>
        <v>0</v>
      </c>
      <c r="V219" s="98">
        <f t="shared" si="32"/>
        <v>0</v>
      </c>
    </row>
    <row r="220" spans="1:22" ht="15" x14ac:dyDescent="0.25">
      <c r="A220" s="97">
        <f t="shared" si="33"/>
        <v>218</v>
      </c>
      <c r="B220" s="86"/>
      <c r="C220" s="86"/>
      <c r="D220" s="86"/>
      <c r="E220" s="86">
        <v>1</v>
      </c>
      <c r="F220" s="95" t="s">
        <v>83</v>
      </c>
      <c r="G220" s="86"/>
      <c r="H220" s="86">
        <v>0</v>
      </c>
      <c r="I220" s="86">
        <v>0</v>
      </c>
      <c r="J220" s="86">
        <v>0</v>
      </c>
      <c r="K220" s="86">
        <v>0</v>
      </c>
      <c r="L220" s="86">
        <v>0</v>
      </c>
      <c r="M220" s="86">
        <f>VLOOKUP(F220,'Прайс Лазер'!$L$3:$M$9,2,0)</f>
        <v>93</v>
      </c>
      <c r="N220" s="86">
        <v>25</v>
      </c>
      <c r="O220" s="94">
        <f>VLOOKUP(E220,'Прайс Лазер'!$I$4:$J$21,2,0)</f>
        <v>1.1499999999999999</v>
      </c>
      <c r="P220" s="86">
        <f>HLOOKUP('Оценка лазера'!$E220,'Прайс Лазер'!$C$26:$T$34,1+VLOOKUP(F220,'Прайс Лазер'!$A$26:$B$34,2,0),0)</f>
        <v>21.849999999999998</v>
      </c>
      <c r="Q220" s="86">
        <f t="shared" si="27"/>
        <v>0</v>
      </c>
      <c r="R220" s="86">
        <f t="shared" si="28"/>
        <v>0</v>
      </c>
      <c r="S220" s="86">
        <f t="shared" si="29"/>
        <v>0</v>
      </c>
      <c r="T220" s="86">
        <f t="shared" si="31"/>
        <v>0</v>
      </c>
      <c r="U220" s="86">
        <f t="shared" si="30"/>
        <v>0</v>
      </c>
      <c r="V220" s="98">
        <f t="shared" si="32"/>
        <v>0</v>
      </c>
    </row>
    <row r="221" spans="1:22" ht="15" x14ac:dyDescent="0.25">
      <c r="A221" s="97">
        <f t="shared" si="33"/>
        <v>219</v>
      </c>
      <c r="B221" s="86"/>
      <c r="C221" s="86"/>
      <c r="D221" s="86"/>
      <c r="E221" s="86">
        <v>1</v>
      </c>
      <c r="F221" s="95" t="s">
        <v>83</v>
      </c>
      <c r="G221" s="86"/>
      <c r="H221" s="86">
        <v>0</v>
      </c>
      <c r="I221" s="86">
        <v>0</v>
      </c>
      <c r="J221" s="86">
        <v>0</v>
      </c>
      <c r="K221" s="86">
        <v>0</v>
      </c>
      <c r="L221" s="86">
        <v>0</v>
      </c>
      <c r="M221" s="86">
        <f>VLOOKUP(F221,'Прайс Лазер'!$L$3:$M$9,2,0)</f>
        <v>93</v>
      </c>
      <c r="N221" s="86">
        <v>25</v>
      </c>
      <c r="O221" s="94">
        <f>VLOOKUP(E221,'Прайс Лазер'!$I$4:$J$21,2,0)</f>
        <v>1.1499999999999999</v>
      </c>
      <c r="P221" s="86">
        <f>HLOOKUP('Оценка лазера'!$E221,'Прайс Лазер'!$C$26:$T$34,1+VLOOKUP(F221,'Прайс Лазер'!$A$26:$B$34,2,0),0)</f>
        <v>21.849999999999998</v>
      </c>
      <c r="Q221" s="86">
        <f t="shared" si="27"/>
        <v>0</v>
      </c>
      <c r="R221" s="86">
        <f t="shared" si="28"/>
        <v>0</v>
      </c>
      <c r="S221" s="86">
        <f t="shared" si="29"/>
        <v>0</v>
      </c>
      <c r="T221" s="86">
        <f t="shared" si="31"/>
        <v>0</v>
      </c>
      <c r="U221" s="86">
        <f t="shared" si="30"/>
        <v>0</v>
      </c>
      <c r="V221" s="98">
        <f t="shared" si="32"/>
        <v>0</v>
      </c>
    </row>
    <row r="222" spans="1:22" ht="15" x14ac:dyDescent="0.25">
      <c r="A222" s="97">
        <f t="shared" si="33"/>
        <v>220</v>
      </c>
      <c r="B222" s="86"/>
      <c r="C222" s="86"/>
      <c r="D222" s="86"/>
      <c r="E222" s="86">
        <v>1</v>
      </c>
      <c r="F222" s="95" t="s">
        <v>83</v>
      </c>
      <c r="G222" s="86"/>
      <c r="H222" s="86">
        <v>0</v>
      </c>
      <c r="I222" s="86">
        <v>0</v>
      </c>
      <c r="J222" s="86">
        <v>0</v>
      </c>
      <c r="K222" s="86">
        <v>0</v>
      </c>
      <c r="L222" s="86">
        <v>0</v>
      </c>
      <c r="M222" s="86">
        <f>VLOOKUP(F222,'Прайс Лазер'!$L$3:$M$9,2,0)</f>
        <v>93</v>
      </c>
      <c r="N222" s="86">
        <v>25</v>
      </c>
      <c r="O222" s="94">
        <f>VLOOKUP(E222,'Прайс Лазер'!$I$4:$J$21,2,0)</f>
        <v>1.1499999999999999</v>
      </c>
      <c r="P222" s="86">
        <f>HLOOKUP('Оценка лазера'!$E222,'Прайс Лазер'!$C$26:$T$34,1+VLOOKUP(F222,'Прайс Лазер'!$A$26:$B$34,2,0),0)</f>
        <v>21.849999999999998</v>
      </c>
      <c r="Q222" s="86">
        <f t="shared" si="27"/>
        <v>0</v>
      </c>
      <c r="R222" s="86">
        <f t="shared" si="28"/>
        <v>0</v>
      </c>
      <c r="S222" s="86">
        <f t="shared" si="29"/>
        <v>0</v>
      </c>
      <c r="T222" s="86">
        <f t="shared" si="31"/>
        <v>0</v>
      </c>
      <c r="U222" s="86">
        <f t="shared" si="30"/>
        <v>0</v>
      </c>
      <c r="V222" s="98">
        <f t="shared" si="32"/>
        <v>0</v>
      </c>
    </row>
    <row r="223" spans="1:22" ht="15" x14ac:dyDescent="0.25">
      <c r="A223" s="97">
        <f t="shared" si="33"/>
        <v>221</v>
      </c>
      <c r="B223" s="86"/>
      <c r="C223" s="86"/>
      <c r="D223" s="86"/>
      <c r="E223" s="86">
        <v>1</v>
      </c>
      <c r="F223" s="95" t="s">
        <v>83</v>
      </c>
      <c r="G223" s="86"/>
      <c r="H223" s="86">
        <v>0</v>
      </c>
      <c r="I223" s="86">
        <v>0</v>
      </c>
      <c r="J223" s="86">
        <v>0</v>
      </c>
      <c r="K223" s="86">
        <v>0</v>
      </c>
      <c r="L223" s="86">
        <v>0</v>
      </c>
      <c r="M223" s="86">
        <f>VLOOKUP(F223,'Прайс Лазер'!$L$3:$M$9,2,0)</f>
        <v>93</v>
      </c>
      <c r="N223" s="86">
        <v>25</v>
      </c>
      <c r="O223" s="94">
        <f>VLOOKUP(E223,'Прайс Лазер'!$I$4:$J$21,2,0)</f>
        <v>1.1499999999999999</v>
      </c>
      <c r="P223" s="86">
        <f>HLOOKUP('Оценка лазера'!$E223,'Прайс Лазер'!$C$26:$T$34,1+VLOOKUP(F223,'Прайс Лазер'!$A$26:$B$34,2,0),0)</f>
        <v>21.849999999999998</v>
      </c>
      <c r="Q223" s="86">
        <f t="shared" si="27"/>
        <v>0</v>
      </c>
      <c r="R223" s="86">
        <f t="shared" si="28"/>
        <v>0</v>
      </c>
      <c r="S223" s="86">
        <f t="shared" si="29"/>
        <v>0</v>
      </c>
      <c r="T223" s="86">
        <f t="shared" si="31"/>
        <v>0</v>
      </c>
      <c r="U223" s="86">
        <f t="shared" si="30"/>
        <v>0</v>
      </c>
      <c r="V223" s="98">
        <f t="shared" si="32"/>
        <v>0</v>
      </c>
    </row>
    <row r="224" spans="1:22" ht="15" x14ac:dyDescent="0.25">
      <c r="A224" s="97">
        <f t="shared" si="33"/>
        <v>222</v>
      </c>
      <c r="B224" s="86"/>
      <c r="C224" s="86"/>
      <c r="D224" s="86"/>
      <c r="E224" s="86">
        <v>1</v>
      </c>
      <c r="F224" s="95" t="s">
        <v>83</v>
      </c>
      <c r="G224" s="86"/>
      <c r="H224" s="86">
        <v>0</v>
      </c>
      <c r="I224" s="86">
        <v>0</v>
      </c>
      <c r="J224" s="86">
        <v>0</v>
      </c>
      <c r="K224" s="86">
        <v>0</v>
      </c>
      <c r="L224" s="86">
        <v>0</v>
      </c>
      <c r="M224" s="86">
        <f>VLOOKUP(F224,'Прайс Лазер'!$L$3:$M$9,2,0)</f>
        <v>93</v>
      </c>
      <c r="N224" s="86">
        <v>25</v>
      </c>
      <c r="O224" s="94">
        <f>VLOOKUP(E224,'Прайс Лазер'!$I$4:$J$21,2,0)</f>
        <v>1.1499999999999999</v>
      </c>
      <c r="P224" s="86">
        <f>HLOOKUP('Оценка лазера'!$E224,'Прайс Лазер'!$C$26:$T$34,1+VLOOKUP(F224,'Прайс Лазер'!$A$26:$B$34,2,0),0)</f>
        <v>21.849999999999998</v>
      </c>
      <c r="Q224" s="86">
        <f t="shared" si="27"/>
        <v>0</v>
      </c>
      <c r="R224" s="86">
        <f t="shared" si="28"/>
        <v>0</v>
      </c>
      <c r="S224" s="86">
        <f t="shared" si="29"/>
        <v>0</v>
      </c>
      <c r="T224" s="86">
        <f t="shared" si="31"/>
        <v>0</v>
      </c>
      <c r="U224" s="86">
        <f t="shared" si="30"/>
        <v>0</v>
      </c>
      <c r="V224" s="98">
        <f t="shared" si="32"/>
        <v>0</v>
      </c>
    </row>
    <row r="225" spans="1:22" ht="15" x14ac:dyDescent="0.25">
      <c r="A225" s="97">
        <f t="shared" si="33"/>
        <v>223</v>
      </c>
      <c r="B225" s="86"/>
      <c r="C225" s="86"/>
      <c r="D225" s="86"/>
      <c r="E225" s="86">
        <v>1</v>
      </c>
      <c r="F225" s="95" t="s">
        <v>83</v>
      </c>
      <c r="G225" s="86"/>
      <c r="H225" s="86">
        <v>0</v>
      </c>
      <c r="I225" s="86">
        <v>0</v>
      </c>
      <c r="J225" s="86">
        <v>0</v>
      </c>
      <c r="K225" s="86">
        <v>0</v>
      </c>
      <c r="L225" s="86">
        <v>0</v>
      </c>
      <c r="M225" s="86">
        <f>VLOOKUP(F225,'Прайс Лазер'!$L$3:$M$9,2,0)</f>
        <v>93</v>
      </c>
      <c r="N225" s="86">
        <v>25</v>
      </c>
      <c r="O225" s="94">
        <f>VLOOKUP(E225,'Прайс Лазер'!$I$4:$J$21,2,0)</f>
        <v>1.1499999999999999</v>
      </c>
      <c r="P225" s="86">
        <f>HLOOKUP('Оценка лазера'!$E225,'Прайс Лазер'!$C$26:$T$34,1+VLOOKUP(F225,'Прайс Лазер'!$A$26:$B$34,2,0),0)</f>
        <v>21.849999999999998</v>
      </c>
      <c r="Q225" s="86">
        <f t="shared" si="27"/>
        <v>0</v>
      </c>
      <c r="R225" s="86">
        <f t="shared" si="28"/>
        <v>0</v>
      </c>
      <c r="S225" s="86">
        <f t="shared" si="29"/>
        <v>0</v>
      </c>
      <c r="T225" s="86">
        <f t="shared" si="31"/>
        <v>0</v>
      </c>
      <c r="U225" s="86">
        <f t="shared" si="30"/>
        <v>0</v>
      </c>
      <c r="V225" s="98">
        <f t="shared" si="32"/>
        <v>0</v>
      </c>
    </row>
    <row r="226" spans="1:22" ht="15" x14ac:dyDescent="0.25">
      <c r="A226" s="97">
        <f t="shared" si="33"/>
        <v>224</v>
      </c>
      <c r="B226" s="86"/>
      <c r="C226" s="86"/>
      <c r="D226" s="86"/>
      <c r="E226" s="86">
        <v>1</v>
      </c>
      <c r="F226" s="95" t="s">
        <v>83</v>
      </c>
      <c r="G226" s="86"/>
      <c r="H226" s="86">
        <v>0</v>
      </c>
      <c r="I226" s="86">
        <v>0</v>
      </c>
      <c r="J226" s="86">
        <v>0</v>
      </c>
      <c r="K226" s="86">
        <v>0</v>
      </c>
      <c r="L226" s="86">
        <v>0</v>
      </c>
      <c r="M226" s="86">
        <f>VLOOKUP(F226,'Прайс Лазер'!$L$3:$M$9,2,0)</f>
        <v>93</v>
      </c>
      <c r="N226" s="86">
        <v>25</v>
      </c>
      <c r="O226" s="94">
        <f>VLOOKUP(E226,'Прайс Лазер'!$I$4:$J$21,2,0)</f>
        <v>1.1499999999999999</v>
      </c>
      <c r="P226" s="86">
        <f>HLOOKUP('Оценка лазера'!$E226,'Прайс Лазер'!$C$26:$T$34,1+VLOOKUP(F226,'Прайс Лазер'!$A$26:$B$34,2,0),0)</f>
        <v>21.849999999999998</v>
      </c>
      <c r="Q226" s="86">
        <f t="shared" si="27"/>
        <v>0</v>
      </c>
      <c r="R226" s="86">
        <f t="shared" si="28"/>
        <v>0</v>
      </c>
      <c r="S226" s="86">
        <f t="shared" si="29"/>
        <v>0</v>
      </c>
      <c r="T226" s="86">
        <f t="shared" si="31"/>
        <v>0</v>
      </c>
      <c r="U226" s="86">
        <f t="shared" si="30"/>
        <v>0</v>
      </c>
      <c r="V226" s="98">
        <f t="shared" si="32"/>
        <v>0</v>
      </c>
    </row>
    <row r="227" spans="1:22" ht="15" x14ac:dyDescent="0.25">
      <c r="A227" s="97">
        <f t="shared" si="33"/>
        <v>225</v>
      </c>
      <c r="B227" s="86"/>
      <c r="C227" s="86"/>
      <c r="D227" s="86"/>
      <c r="E227" s="86">
        <v>1</v>
      </c>
      <c r="F227" s="95" t="s">
        <v>83</v>
      </c>
      <c r="G227" s="86"/>
      <c r="H227" s="86">
        <v>0</v>
      </c>
      <c r="I227" s="86">
        <v>0</v>
      </c>
      <c r="J227" s="86">
        <v>0</v>
      </c>
      <c r="K227" s="86">
        <v>0</v>
      </c>
      <c r="L227" s="86">
        <v>0</v>
      </c>
      <c r="M227" s="86">
        <f>VLOOKUP(F227,'Прайс Лазер'!$L$3:$M$9,2,0)</f>
        <v>93</v>
      </c>
      <c r="N227" s="86">
        <v>25</v>
      </c>
      <c r="O227" s="94">
        <f>VLOOKUP(E227,'Прайс Лазер'!$I$4:$J$21,2,0)</f>
        <v>1.1499999999999999</v>
      </c>
      <c r="P227" s="86">
        <f>HLOOKUP('Оценка лазера'!$E227,'Прайс Лазер'!$C$26:$T$34,1+VLOOKUP(F227,'Прайс Лазер'!$A$26:$B$34,2,0),0)</f>
        <v>21.849999999999998</v>
      </c>
      <c r="Q227" s="86">
        <f t="shared" si="27"/>
        <v>0</v>
      </c>
      <c r="R227" s="86">
        <f t="shared" si="28"/>
        <v>0</v>
      </c>
      <c r="S227" s="86">
        <f t="shared" si="29"/>
        <v>0</v>
      </c>
      <c r="T227" s="86">
        <f t="shared" si="31"/>
        <v>0</v>
      </c>
      <c r="U227" s="86">
        <f t="shared" si="30"/>
        <v>0</v>
      </c>
      <c r="V227" s="98">
        <f t="shared" si="32"/>
        <v>0</v>
      </c>
    </row>
    <row r="228" spans="1:22" ht="15" x14ac:dyDescent="0.25">
      <c r="A228" s="97">
        <f t="shared" si="33"/>
        <v>226</v>
      </c>
      <c r="B228" s="86"/>
      <c r="C228" s="86"/>
      <c r="D228" s="86"/>
      <c r="E228" s="86">
        <v>1</v>
      </c>
      <c r="F228" s="95" t="s">
        <v>83</v>
      </c>
      <c r="G228" s="86"/>
      <c r="H228" s="86">
        <v>0</v>
      </c>
      <c r="I228" s="86">
        <v>0</v>
      </c>
      <c r="J228" s="86">
        <v>0</v>
      </c>
      <c r="K228" s="86">
        <v>0</v>
      </c>
      <c r="L228" s="86">
        <v>0</v>
      </c>
      <c r="M228" s="86">
        <f>VLOOKUP(F228,'Прайс Лазер'!$L$3:$M$9,2,0)</f>
        <v>93</v>
      </c>
      <c r="N228" s="86">
        <v>25</v>
      </c>
      <c r="O228" s="94">
        <f>VLOOKUP(E228,'Прайс Лазер'!$I$4:$J$21,2,0)</f>
        <v>1.1499999999999999</v>
      </c>
      <c r="P228" s="86">
        <f>HLOOKUP('Оценка лазера'!$E228,'Прайс Лазер'!$C$26:$T$34,1+VLOOKUP(F228,'Прайс Лазер'!$A$26:$B$34,2,0),0)</f>
        <v>21.849999999999998</v>
      </c>
      <c r="Q228" s="86">
        <f t="shared" si="27"/>
        <v>0</v>
      </c>
      <c r="R228" s="86">
        <f t="shared" si="28"/>
        <v>0</v>
      </c>
      <c r="S228" s="86">
        <f t="shared" si="29"/>
        <v>0</v>
      </c>
      <c r="T228" s="86">
        <f t="shared" si="31"/>
        <v>0</v>
      </c>
      <c r="U228" s="86">
        <f t="shared" si="30"/>
        <v>0</v>
      </c>
      <c r="V228" s="98">
        <f t="shared" si="32"/>
        <v>0</v>
      </c>
    </row>
    <row r="229" spans="1:22" ht="15" x14ac:dyDescent="0.25">
      <c r="A229" s="97">
        <f t="shared" si="33"/>
        <v>227</v>
      </c>
      <c r="B229" s="86"/>
      <c r="C229" s="86"/>
      <c r="D229" s="86"/>
      <c r="E229" s="86">
        <v>1</v>
      </c>
      <c r="F229" s="95" t="s">
        <v>83</v>
      </c>
      <c r="G229" s="86"/>
      <c r="H229" s="86">
        <v>0</v>
      </c>
      <c r="I229" s="86">
        <v>0</v>
      </c>
      <c r="J229" s="86">
        <v>0</v>
      </c>
      <c r="K229" s="86">
        <v>0</v>
      </c>
      <c r="L229" s="86">
        <v>0</v>
      </c>
      <c r="M229" s="86">
        <f>VLOOKUP(F229,'Прайс Лазер'!$L$3:$M$9,2,0)</f>
        <v>93</v>
      </c>
      <c r="N229" s="86">
        <v>25</v>
      </c>
      <c r="O229" s="94">
        <f>VLOOKUP(E229,'Прайс Лазер'!$I$4:$J$21,2,0)</f>
        <v>1.1499999999999999</v>
      </c>
      <c r="P229" s="86">
        <f>HLOOKUP('Оценка лазера'!$E229,'Прайс Лазер'!$C$26:$T$34,1+VLOOKUP(F229,'Прайс Лазер'!$A$26:$B$34,2,0),0)</f>
        <v>21.849999999999998</v>
      </c>
      <c r="Q229" s="86">
        <f t="shared" si="27"/>
        <v>0</v>
      </c>
      <c r="R229" s="86">
        <f t="shared" si="28"/>
        <v>0</v>
      </c>
      <c r="S229" s="86">
        <f t="shared" si="29"/>
        <v>0</v>
      </c>
      <c r="T229" s="86">
        <f t="shared" si="31"/>
        <v>0</v>
      </c>
      <c r="U229" s="86">
        <f t="shared" si="30"/>
        <v>0</v>
      </c>
      <c r="V229" s="98">
        <f t="shared" si="32"/>
        <v>0</v>
      </c>
    </row>
    <row r="230" spans="1:22" ht="15" x14ac:dyDescent="0.25">
      <c r="A230" s="97">
        <f t="shared" si="33"/>
        <v>228</v>
      </c>
      <c r="B230" s="86"/>
      <c r="C230" s="86"/>
      <c r="D230" s="86"/>
      <c r="E230" s="86">
        <v>1</v>
      </c>
      <c r="F230" s="95" t="s">
        <v>83</v>
      </c>
      <c r="G230" s="86"/>
      <c r="H230" s="86">
        <v>0</v>
      </c>
      <c r="I230" s="86">
        <v>0</v>
      </c>
      <c r="J230" s="86">
        <v>0</v>
      </c>
      <c r="K230" s="86">
        <v>0</v>
      </c>
      <c r="L230" s="86">
        <v>0</v>
      </c>
      <c r="M230" s="86">
        <f>VLOOKUP(F230,'Прайс Лазер'!$L$3:$M$9,2,0)</f>
        <v>93</v>
      </c>
      <c r="N230" s="86">
        <v>25</v>
      </c>
      <c r="O230" s="94">
        <f>VLOOKUP(E230,'Прайс Лазер'!$I$4:$J$21,2,0)</f>
        <v>1.1499999999999999</v>
      </c>
      <c r="P230" s="86">
        <f>HLOOKUP('Оценка лазера'!$E230,'Прайс Лазер'!$C$26:$T$34,1+VLOOKUP(F230,'Прайс Лазер'!$A$26:$B$34,2,0),0)</f>
        <v>21.849999999999998</v>
      </c>
      <c r="Q230" s="86">
        <f t="shared" si="27"/>
        <v>0</v>
      </c>
      <c r="R230" s="86">
        <f t="shared" si="28"/>
        <v>0</v>
      </c>
      <c r="S230" s="86">
        <f t="shared" si="29"/>
        <v>0</v>
      </c>
      <c r="T230" s="86">
        <f t="shared" si="31"/>
        <v>0</v>
      </c>
      <c r="U230" s="86">
        <f t="shared" si="30"/>
        <v>0</v>
      </c>
      <c r="V230" s="98">
        <f t="shared" si="32"/>
        <v>0</v>
      </c>
    </row>
    <row r="231" spans="1:22" ht="15" x14ac:dyDescent="0.25">
      <c r="A231" s="97">
        <f t="shared" si="33"/>
        <v>229</v>
      </c>
      <c r="B231" s="86"/>
      <c r="C231" s="86"/>
      <c r="D231" s="86"/>
      <c r="E231" s="86">
        <v>1</v>
      </c>
      <c r="F231" s="95" t="s">
        <v>83</v>
      </c>
      <c r="G231" s="86"/>
      <c r="H231" s="86">
        <v>0</v>
      </c>
      <c r="I231" s="86">
        <v>0</v>
      </c>
      <c r="J231" s="86">
        <v>0</v>
      </c>
      <c r="K231" s="86">
        <v>0</v>
      </c>
      <c r="L231" s="86">
        <v>0</v>
      </c>
      <c r="M231" s="86">
        <f>VLOOKUP(F231,'Прайс Лазер'!$L$3:$M$9,2,0)</f>
        <v>93</v>
      </c>
      <c r="N231" s="86">
        <v>25</v>
      </c>
      <c r="O231" s="94">
        <f>VLOOKUP(E231,'Прайс Лазер'!$I$4:$J$21,2,0)</f>
        <v>1.1499999999999999</v>
      </c>
      <c r="P231" s="86">
        <f>HLOOKUP('Оценка лазера'!$E231,'Прайс Лазер'!$C$26:$T$34,1+VLOOKUP(F231,'Прайс Лазер'!$A$26:$B$34,2,0),0)</f>
        <v>21.849999999999998</v>
      </c>
      <c r="Q231" s="86">
        <f t="shared" si="27"/>
        <v>0</v>
      </c>
      <c r="R231" s="86">
        <f t="shared" si="28"/>
        <v>0</v>
      </c>
      <c r="S231" s="86">
        <f t="shared" si="29"/>
        <v>0</v>
      </c>
      <c r="T231" s="86">
        <f t="shared" si="31"/>
        <v>0</v>
      </c>
      <c r="U231" s="86">
        <f t="shared" si="30"/>
        <v>0</v>
      </c>
      <c r="V231" s="98">
        <f t="shared" si="32"/>
        <v>0</v>
      </c>
    </row>
    <row r="232" spans="1:22" ht="15" x14ac:dyDescent="0.25">
      <c r="A232" s="97">
        <f t="shared" si="33"/>
        <v>230</v>
      </c>
      <c r="B232" s="86"/>
      <c r="C232" s="86"/>
      <c r="D232" s="86"/>
      <c r="E232" s="86">
        <v>1</v>
      </c>
      <c r="F232" s="95" t="s">
        <v>83</v>
      </c>
      <c r="G232" s="86"/>
      <c r="H232" s="86">
        <v>0</v>
      </c>
      <c r="I232" s="86">
        <v>0</v>
      </c>
      <c r="J232" s="86">
        <v>0</v>
      </c>
      <c r="K232" s="86">
        <v>0</v>
      </c>
      <c r="L232" s="86">
        <v>0</v>
      </c>
      <c r="M232" s="86">
        <f>VLOOKUP(F232,'Прайс Лазер'!$L$3:$M$9,2,0)</f>
        <v>93</v>
      </c>
      <c r="N232" s="86">
        <v>25</v>
      </c>
      <c r="O232" s="94">
        <f>VLOOKUP(E232,'Прайс Лазер'!$I$4:$J$21,2,0)</f>
        <v>1.1499999999999999</v>
      </c>
      <c r="P232" s="86">
        <f>HLOOKUP('Оценка лазера'!$E232,'Прайс Лазер'!$C$26:$T$34,1+VLOOKUP(F232,'Прайс Лазер'!$A$26:$B$34,2,0),0)</f>
        <v>21.849999999999998</v>
      </c>
      <c r="Q232" s="86">
        <f t="shared" si="27"/>
        <v>0</v>
      </c>
      <c r="R232" s="86">
        <f t="shared" si="28"/>
        <v>0</v>
      </c>
      <c r="S232" s="86">
        <f t="shared" si="29"/>
        <v>0</v>
      </c>
      <c r="T232" s="86">
        <f t="shared" si="31"/>
        <v>0</v>
      </c>
      <c r="U232" s="86">
        <f t="shared" si="30"/>
        <v>0</v>
      </c>
      <c r="V232" s="98">
        <f t="shared" si="32"/>
        <v>0</v>
      </c>
    </row>
    <row r="233" spans="1:22" ht="15" x14ac:dyDescent="0.25">
      <c r="A233" s="97">
        <f t="shared" si="33"/>
        <v>231</v>
      </c>
      <c r="B233" s="86"/>
      <c r="C233" s="86"/>
      <c r="D233" s="86"/>
      <c r="E233" s="86">
        <v>1</v>
      </c>
      <c r="F233" s="95" t="s">
        <v>83</v>
      </c>
      <c r="G233" s="86"/>
      <c r="H233" s="86">
        <v>0</v>
      </c>
      <c r="I233" s="86">
        <v>0</v>
      </c>
      <c r="J233" s="86">
        <v>0</v>
      </c>
      <c r="K233" s="86">
        <v>0</v>
      </c>
      <c r="L233" s="86">
        <v>0</v>
      </c>
      <c r="M233" s="86">
        <f>VLOOKUP(F233,'Прайс Лазер'!$L$3:$M$9,2,0)</f>
        <v>93</v>
      </c>
      <c r="N233" s="86">
        <v>25</v>
      </c>
      <c r="O233" s="94">
        <f>VLOOKUP(E233,'Прайс Лазер'!$I$4:$J$21,2,0)</f>
        <v>1.1499999999999999</v>
      </c>
      <c r="P233" s="86">
        <f>HLOOKUP('Оценка лазера'!$E233,'Прайс Лазер'!$C$26:$T$34,1+VLOOKUP(F233,'Прайс Лазер'!$A$26:$B$34,2,0),0)</f>
        <v>21.849999999999998</v>
      </c>
      <c r="Q233" s="86">
        <f t="shared" si="27"/>
        <v>0</v>
      </c>
      <c r="R233" s="86">
        <f t="shared" si="28"/>
        <v>0</v>
      </c>
      <c r="S233" s="86">
        <f t="shared" si="29"/>
        <v>0</v>
      </c>
      <c r="T233" s="86">
        <f t="shared" si="31"/>
        <v>0</v>
      </c>
      <c r="U233" s="86">
        <f t="shared" si="30"/>
        <v>0</v>
      </c>
      <c r="V233" s="98">
        <f t="shared" si="32"/>
        <v>0</v>
      </c>
    </row>
    <row r="234" spans="1:22" ht="15" x14ac:dyDescent="0.25">
      <c r="A234" s="97">
        <f t="shared" si="33"/>
        <v>232</v>
      </c>
      <c r="B234" s="86"/>
      <c r="C234" s="86"/>
      <c r="D234" s="86"/>
      <c r="E234" s="86">
        <v>1</v>
      </c>
      <c r="F234" s="95" t="s">
        <v>83</v>
      </c>
      <c r="G234" s="86"/>
      <c r="H234" s="86">
        <v>0</v>
      </c>
      <c r="I234" s="86">
        <v>0</v>
      </c>
      <c r="J234" s="86">
        <v>0</v>
      </c>
      <c r="K234" s="86">
        <v>0</v>
      </c>
      <c r="L234" s="86">
        <v>0</v>
      </c>
      <c r="M234" s="86">
        <f>VLOOKUP(F234,'Прайс Лазер'!$L$3:$M$9,2,0)</f>
        <v>93</v>
      </c>
      <c r="N234" s="86">
        <v>25</v>
      </c>
      <c r="O234" s="94">
        <f>VLOOKUP(E234,'Прайс Лазер'!$I$4:$J$21,2,0)</f>
        <v>1.1499999999999999</v>
      </c>
      <c r="P234" s="86">
        <f>HLOOKUP('Оценка лазера'!$E234,'Прайс Лазер'!$C$26:$T$34,1+VLOOKUP(F234,'Прайс Лазер'!$A$26:$B$34,2,0),0)</f>
        <v>21.849999999999998</v>
      </c>
      <c r="Q234" s="86">
        <f t="shared" si="27"/>
        <v>0</v>
      </c>
      <c r="R234" s="86">
        <f t="shared" si="28"/>
        <v>0</v>
      </c>
      <c r="S234" s="86">
        <f t="shared" si="29"/>
        <v>0</v>
      </c>
      <c r="T234" s="86">
        <f t="shared" si="31"/>
        <v>0</v>
      </c>
      <c r="U234" s="86">
        <f t="shared" si="30"/>
        <v>0</v>
      </c>
      <c r="V234" s="98">
        <f t="shared" si="32"/>
        <v>0</v>
      </c>
    </row>
    <row r="235" spans="1:22" ht="15" x14ac:dyDescent="0.25">
      <c r="A235" s="97">
        <f t="shared" si="33"/>
        <v>233</v>
      </c>
      <c r="B235" s="86"/>
      <c r="C235" s="86"/>
      <c r="D235" s="86"/>
      <c r="E235" s="86">
        <v>1</v>
      </c>
      <c r="F235" s="95" t="s">
        <v>83</v>
      </c>
      <c r="G235" s="86"/>
      <c r="H235" s="86">
        <v>0</v>
      </c>
      <c r="I235" s="86">
        <v>0</v>
      </c>
      <c r="J235" s="86">
        <v>0</v>
      </c>
      <c r="K235" s="86">
        <v>0</v>
      </c>
      <c r="L235" s="86">
        <v>0</v>
      </c>
      <c r="M235" s="86">
        <f>VLOOKUP(F235,'Прайс Лазер'!$L$3:$M$9,2,0)</f>
        <v>93</v>
      </c>
      <c r="N235" s="86">
        <v>25</v>
      </c>
      <c r="O235" s="94">
        <f>VLOOKUP(E235,'Прайс Лазер'!$I$4:$J$21,2,0)</f>
        <v>1.1499999999999999</v>
      </c>
      <c r="P235" s="86">
        <f>HLOOKUP('Оценка лазера'!$E235,'Прайс Лазер'!$C$26:$T$34,1+VLOOKUP(F235,'Прайс Лазер'!$A$26:$B$34,2,0),0)</f>
        <v>21.849999999999998</v>
      </c>
      <c r="Q235" s="86">
        <f t="shared" si="27"/>
        <v>0</v>
      </c>
      <c r="R235" s="86">
        <f t="shared" si="28"/>
        <v>0</v>
      </c>
      <c r="S235" s="86">
        <f t="shared" si="29"/>
        <v>0</v>
      </c>
      <c r="T235" s="86">
        <f t="shared" si="31"/>
        <v>0</v>
      </c>
      <c r="U235" s="86">
        <f t="shared" si="30"/>
        <v>0</v>
      </c>
      <c r="V235" s="98">
        <f t="shared" si="32"/>
        <v>0</v>
      </c>
    </row>
    <row r="236" spans="1:22" ht="15" x14ac:dyDescent="0.25">
      <c r="A236" s="97">
        <f t="shared" si="33"/>
        <v>234</v>
      </c>
      <c r="B236" s="86"/>
      <c r="C236" s="86"/>
      <c r="D236" s="86"/>
      <c r="E236" s="86">
        <v>1</v>
      </c>
      <c r="F236" s="95" t="s">
        <v>83</v>
      </c>
      <c r="G236" s="86"/>
      <c r="H236" s="86">
        <v>0</v>
      </c>
      <c r="I236" s="86">
        <v>0</v>
      </c>
      <c r="J236" s="86">
        <v>0</v>
      </c>
      <c r="K236" s="86">
        <v>0</v>
      </c>
      <c r="L236" s="86">
        <v>0</v>
      </c>
      <c r="M236" s="86">
        <f>VLOOKUP(F236,'Прайс Лазер'!$L$3:$M$9,2,0)</f>
        <v>93</v>
      </c>
      <c r="N236" s="86">
        <v>25</v>
      </c>
      <c r="O236" s="94">
        <f>VLOOKUP(E236,'Прайс Лазер'!$I$4:$J$21,2,0)</f>
        <v>1.1499999999999999</v>
      </c>
      <c r="P236" s="86">
        <f>HLOOKUP('Оценка лазера'!$E236,'Прайс Лазер'!$C$26:$T$34,1+VLOOKUP(F236,'Прайс Лазер'!$A$26:$B$34,2,0),0)</f>
        <v>21.849999999999998</v>
      </c>
      <c r="Q236" s="86">
        <f t="shared" si="27"/>
        <v>0</v>
      </c>
      <c r="R236" s="86">
        <f t="shared" si="28"/>
        <v>0</v>
      </c>
      <c r="S236" s="86">
        <f t="shared" si="29"/>
        <v>0</v>
      </c>
      <c r="T236" s="86">
        <f t="shared" si="31"/>
        <v>0</v>
      </c>
      <c r="U236" s="86">
        <f t="shared" si="30"/>
        <v>0</v>
      </c>
      <c r="V236" s="98">
        <f t="shared" si="32"/>
        <v>0</v>
      </c>
    </row>
    <row r="237" spans="1:22" ht="15" x14ac:dyDescent="0.25">
      <c r="A237" s="97">
        <f t="shared" si="33"/>
        <v>235</v>
      </c>
      <c r="B237" s="86"/>
      <c r="C237" s="86"/>
      <c r="D237" s="86"/>
      <c r="E237" s="86">
        <v>1</v>
      </c>
      <c r="F237" s="95" t="s">
        <v>83</v>
      </c>
      <c r="G237" s="86"/>
      <c r="H237" s="86">
        <v>0</v>
      </c>
      <c r="I237" s="86">
        <v>0</v>
      </c>
      <c r="J237" s="86">
        <v>0</v>
      </c>
      <c r="K237" s="86">
        <v>0</v>
      </c>
      <c r="L237" s="86">
        <v>0</v>
      </c>
      <c r="M237" s="86">
        <f>VLOOKUP(F237,'Прайс Лазер'!$L$3:$M$9,2,0)</f>
        <v>93</v>
      </c>
      <c r="N237" s="86">
        <v>25</v>
      </c>
      <c r="O237" s="94">
        <f>VLOOKUP(E237,'Прайс Лазер'!$I$4:$J$21,2,0)</f>
        <v>1.1499999999999999</v>
      </c>
      <c r="P237" s="86">
        <f>HLOOKUP('Оценка лазера'!$E237,'Прайс Лазер'!$C$26:$T$34,1+VLOOKUP(F237,'Прайс Лазер'!$A$26:$B$34,2,0),0)</f>
        <v>21.849999999999998</v>
      </c>
      <c r="Q237" s="86">
        <f t="shared" si="27"/>
        <v>0</v>
      </c>
      <c r="R237" s="86">
        <f t="shared" si="28"/>
        <v>0</v>
      </c>
      <c r="S237" s="86">
        <f t="shared" si="29"/>
        <v>0</v>
      </c>
      <c r="T237" s="86">
        <f t="shared" si="31"/>
        <v>0</v>
      </c>
      <c r="U237" s="86">
        <f t="shared" si="30"/>
        <v>0</v>
      </c>
      <c r="V237" s="98">
        <f t="shared" si="32"/>
        <v>0</v>
      </c>
    </row>
    <row r="238" spans="1:22" ht="15" x14ac:dyDescent="0.25">
      <c r="A238" s="144" t="s">
        <v>68</v>
      </c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3"/>
      <c r="P238" s="142"/>
      <c r="Q238" s="142"/>
      <c r="R238" s="142"/>
      <c r="S238" s="142"/>
      <c r="T238" s="142"/>
      <c r="U238" s="142"/>
      <c r="V238" s="145">
        <f>SUM(V3:V237)</f>
        <v>7521.8548610416674</v>
      </c>
    </row>
  </sheetData>
  <mergeCells count="2">
    <mergeCell ref="A1:C1"/>
    <mergeCell ref="D1:E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'Прайс Лазер'!$A$27:$A$34</xm:f>
          </x14:formula1>
          <xm:sqref>F3:F237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2"/>
  <sheetViews>
    <sheetView workbookViewId="0">
      <pane xSplit="4" ySplit="1" topLeftCell="E44" activePane="bottomRight" state="frozen"/>
      <selection pane="topRight" activeCell="E1" sqref="E1"/>
      <selection pane="bottomLeft" activeCell="A2" sqref="A2"/>
      <selection pane="bottomRight" activeCell="N12" sqref="N12"/>
    </sheetView>
  </sheetViews>
  <sheetFormatPr defaultRowHeight="11.25" x14ac:dyDescent="0.2"/>
  <cols>
    <col min="1" max="1" width="9.33203125" customWidth="1"/>
    <col min="2" max="2" width="21.33203125" customWidth="1"/>
    <col min="3" max="3" width="23.5" customWidth="1"/>
    <col min="5" max="5" width="20.83203125" customWidth="1"/>
    <col min="6" max="6" width="12.1640625" customWidth="1"/>
    <col min="7" max="8" width="20.6640625" customWidth="1"/>
    <col min="9" max="9" width="19.33203125" customWidth="1"/>
    <col min="10" max="10" width="19.83203125" customWidth="1"/>
    <col min="11" max="11" width="21.6640625" customWidth="1"/>
    <col min="12" max="12" width="25" customWidth="1"/>
    <col min="13" max="13" width="26.5" customWidth="1"/>
    <col min="14" max="14" width="29.83203125" customWidth="1"/>
  </cols>
  <sheetData>
    <row r="1" spans="1:14" ht="75" customHeight="1" x14ac:dyDescent="0.2">
      <c r="A1" s="104" t="s">
        <v>27</v>
      </c>
      <c r="B1" s="105" t="s">
        <v>28</v>
      </c>
      <c r="C1" s="105" t="s">
        <v>2</v>
      </c>
      <c r="D1" s="105" t="s">
        <v>29</v>
      </c>
      <c r="E1" s="105" t="s">
        <v>94</v>
      </c>
      <c r="F1" s="105" t="s">
        <v>189</v>
      </c>
      <c r="G1" s="105" t="s">
        <v>30</v>
      </c>
      <c r="H1" s="105" t="s">
        <v>72</v>
      </c>
      <c r="I1" s="105" t="s">
        <v>31</v>
      </c>
      <c r="J1" s="105" t="s">
        <v>92</v>
      </c>
      <c r="K1" s="105" t="s">
        <v>93</v>
      </c>
      <c r="L1" s="105" t="s">
        <v>108</v>
      </c>
      <c r="M1" s="105" t="s">
        <v>107</v>
      </c>
      <c r="N1" s="106" t="s">
        <v>106</v>
      </c>
    </row>
    <row r="2" spans="1:14" ht="15" x14ac:dyDescent="0.2">
      <c r="A2" s="102">
        <v>1</v>
      </c>
      <c r="B2" s="26" t="s">
        <v>207</v>
      </c>
      <c r="C2" s="26" t="s">
        <v>208</v>
      </c>
      <c r="D2" s="26">
        <v>2</v>
      </c>
      <c r="E2" s="26">
        <v>10</v>
      </c>
      <c r="F2" s="26">
        <f>CEILING(Таблица2[[#This Row],[Толщина, мм]]/5,1)</f>
        <v>2</v>
      </c>
      <c r="G2" s="26" t="s">
        <v>205</v>
      </c>
      <c r="H2" s="26">
        <v>0.09</v>
      </c>
      <c r="I2" s="26" t="s">
        <v>206</v>
      </c>
      <c r="J2" s="26">
        <v>380</v>
      </c>
      <c r="K2" s="26">
        <v>61.26</v>
      </c>
      <c r="L2" s="26">
        <f>D2*H2</f>
        <v>0.18</v>
      </c>
      <c r="M2" s="26">
        <v>0</v>
      </c>
      <c r="N2" s="103">
        <f>(((J2+K2)/1000*1.1*30*Таблица2[[#This Row],[Кол.проходов]])/1.2)*D2</f>
        <v>48.538600000000002</v>
      </c>
    </row>
    <row r="3" spans="1:14" ht="15" x14ac:dyDescent="0.2">
      <c r="A3" s="102">
        <v>2</v>
      </c>
      <c r="B3" s="26" t="s">
        <v>203</v>
      </c>
      <c r="C3" s="26" t="s">
        <v>204</v>
      </c>
      <c r="D3" s="26">
        <v>2</v>
      </c>
      <c r="E3" s="26">
        <v>10</v>
      </c>
      <c r="F3" s="26">
        <f>CEILING(Таблица2[[#This Row],[Толщина, мм]]/5,1)</f>
        <v>2</v>
      </c>
      <c r="G3" s="26" t="s">
        <v>205</v>
      </c>
      <c r="H3" s="26">
        <v>0.15</v>
      </c>
      <c r="I3" s="26" t="s">
        <v>206</v>
      </c>
      <c r="J3" s="26">
        <v>580</v>
      </c>
      <c r="K3" s="26">
        <v>109.96</v>
      </c>
      <c r="L3" s="26">
        <f t="shared" ref="L3:L33" si="0">D3*H3</f>
        <v>0.3</v>
      </c>
      <c r="M3" s="26">
        <v>0</v>
      </c>
      <c r="N3" s="103">
        <f>(((J3+K3)/1000*1.1*30*Таблица2[[#This Row],[Кол.проходов]])/1.2)*D3</f>
        <v>75.895600000000016</v>
      </c>
    </row>
    <row r="4" spans="1:14" ht="15" x14ac:dyDescent="0.2">
      <c r="A4" s="102">
        <v>4</v>
      </c>
      <c r="B4" s="26" t="s">
        <v>210</v>
      </c>
      <c r="C4" s="26" t="s">
        <v>211</v>
      </c>
      <c r="D4" s="26">
        <v>2</v>
      </c>
      <c r="E4" s="26">
        <v>6</v>
      </c>
      <c r="F4" s="26">
        <f>CEILING(Таблица2[[#This Row],[Толщина, мм]]/5,1)</f>
        <v>2</v>
      </c>
      <c r="G4" s="26" t="s">
        <v>205</v>
      </c>
      <c r="H4" s="26">
        <v>0.28999999999999998</v>
      </c>
      <c r="I4" s="26" t="s">
        <v>206</v>
      </c>
      <c r="J4" s="26">
        <v>1528</v>
      </c>
      <c r="K4" s="26">
        <v>113.1</v>
      </c>
      <c r="L4" s="26">
        <f t="shared" si="0"/>
        <v>0.57999999999999996</v>
      </c>
      <c r="M4" s="26">
        <v>0</v>
      </c>
      <c r="N4" s="103">
        <f>(((J4+K4)/1000*1.1*30*Таблица2[[#This Row],[Кол.проходов]])/1.2)*D4</f>
        <v>180.52100000000004</v>
      </c>
    </row>
    <row r="5" spans="1:14" ht="15" x14ac:dyDescent="0.2">
      <c r="A5" s="102">
        <v>6</v>
      </c>
      <c r="B5" s="26" t="s">
        <v>209</v>
      </c>
      <c r="C5" s="26" t="s">
        <v>204</v>
      </c>
      <c r="D5" s="26">
        <v>2</v>
      </c>
      <c r="E5" s="26">
        <v>10</v>
      </c>
      <c r="F5" s="26">
        <f>CEILING(Таблица2[[#This Row],[Толщина, мм]]/5,1)</f>
        <v>2</v>
      </c>
      <c r="G5" s="26" t="s">
        <v>205</v>
      </c>
      <c r="H5" s="26">
        <v>0.59</v>
      </c>
      <c r="I5" s="26" t="s">
        <v>206</v>
      </c>
      <c r="J5" s="26">
        <v>1549</v>
      </c>
      <c r="K5" s="26">
        <v>113.1</v>
      </c>
      <c r="L5" s="26">
        <f t="shared" si="0"/>
        <v>1.18</v>
      </c>
      <c r="M5" s="26">
        <v>0</v>
      </c>
      <c r="N5" s="103">
        <f>(((J5+K5)/1000*1.1*30*Таблица2[[#This Row],[Кол.проходов]])/1.2)*D5</f>
        <v>182.83100000000002</v>
      </c>
    </row>
    <row r="6" spans="1:14" ht="15" x14ac:dyDescent="0.2">
      <c r="A6" s="102">
        <v>7</v>
      </c>
      <c r="B6" s="26"/>
      <c r="C6" s="26"/>
      <c r="D6" s="26"/>
      <c r="E6" s="26"/>
      <c r="F6" s="26">
        <f>CEILING(Таблица2[[#This Row],[Толщина, мм]]/5,1)</f>
        <v>0</v>
      </c>
      <c r="G6" s="26"/>
      <c r="H6" s="26"/>
      <c r="I6" s="26"/>
      <c r="J6" s="26"/>
      <c r="K6" s="26"/>
      <c r="L6" s="26">
        <f t="shared" si="0"/>
        <v>0</v>
      </c>
      <c r="M6" s="26">
        <f t="shared" ref="M6:M51" si="1">((H6*99)/1.2)*D6</f>
        <v>0</v>
      </c>
      <c r="N6" s="103">
        <f>(((J6+K6)/1000*1.1*30*Таблица2[[#This Row],[Кол.проходов]])/1.2)*D6</f>
        <v>0</v>
      </c>
    </row>
    <row r="7" spans="1:14" ht="15" x14ac:dyDescent="0.2">
      <c r="A7" s="102">
        <v>8</v>
      </c>
      <c r="B7" s="13"/>
      <c r="C7" s="13"/>
      <c r="D7" s="13"/>
      <c r="E7" s="13"/>
      <c r="F7" s="26">
        <f>CEILING(Таблица2[[#This Row],[Толщина, мм]]/5,1)</f>
        <v>0</v>
      </c>
      <c r="G7" s="13"/>
      <c r="H7" s="13"/>
      <c r="I7" s="13"/>
      <c r="J7" s="13"/>
      <c r="K7" s="13"/>
      <c r="L7" s="26">
        <f t="shared" si="0"/>
        <v>0</v>
      </c>
      <c r="M7" s="26">
        <f t="shared" si="1"/>
        <v>0</v>
      </c>
      <c r="N7" s="103">
        <f>(((J7+K7)/1000*1.1*30*Таблица2[[#This Row],[Кол.проходов]])/1.2)*D7</f>
        <v>0</v>
      </c>
    </row>
    <row r="8" spans="1:14" ht="15" x14ac:dyDescent="0.2">
      <c r="A8" s="102">
        <v>9</v>
      </c>
      <c r="B8" s="13"/>
      <c r="C8" s="13"/>
      <c r="D8" s="13"/>
      <c r="E8" s="13"/>
      <c r="F8" s="26">
        <f>CEILING(Таблица2[[#This Row],[Толщина, мм]]/5,1)</f>
        <v>0</v>
      </c>
      <c r="G8" s="13"/>
      <c r="H8" s="13"/>
      <c r="I8" s="13"/>
      <c r="J8" s="13"/>
      <c r="K8" s="13"/>
      <c r="L8" s="26">
        <f t="shared" si="0"/>
        <v>0</v>
      </c>
      <c r="M8" s="26">
        <f t="shared" si="1"/>
        <v>0</v>
      </c>
      <c r="N8" s="103">
        <f>(((J8+K8)/1000*1.1*30*Таблица2[[#This Row],[Кол.проходов]])/1.2)*D8</f>
        <v>0</v>
      </c>
    </row>
    <row r="9" spans="1:14" ht="15" x14ac:dyDescent="0.2">
      <c r="A9" s="102">
        <v>10</v>
      </c>
      <c r="B9" s="13"/>
      <c r="C9" s="13"/>
      <c r="D9" s="13"/>
      <c r="E9" s="13"/>
      <c r="F9" s="26">
        <f>CEILING(Таблица2[[#This Row],[Толщина, мм]]/5,1)</f>
        <v>0</v>
      </c>
      <c r="G9" s="13"/>
      <c r="H9" s="13"/>
      <c r="I9" s="13"/>
      <c r="J9" s="13"/>
      <c r="K9" s="13"/>
      <c r="L9" s="26">
        <f t="shared" si="0"/>
        <v>0</v>
      </c>
      <c r="M9" s="26">
        <f t="shared" si="1"/>
        <v>0</v>
      </c>
      <c r="N9" s="103">
        <f>(((J9+K9)/1000*1.1*30*Таблица2[[#This Row],[Кол.проходов]])/1.2)*D9</f>
        <v>0</v>
      </c>
    </row>
    <row r="10" spans="1:14" ht="15" x14ac:dyDescent="0.2">
      <c r="A10" s="102">
        <v>11</v>
      </c>
      <c r="B10" s="13"/>
      <c r="C10" s="13"/>
      <c r="D10" s="13"/>
      <c r="E10" s="13"/>
      <c r="F10" s="26">
        <f>CEILING(Таблица2[[#This Row],[Толщина, мм]]/5,1)</f>
        <v>0</v>
      </c>
      <c r="G10" s="13"/>
      <c r="H10" s="13"/>
      <c r="I10" s="13"/>
      <c r="J10" s="13"/>
      <c r="K10" s="13"/>
      <c r="L10" s="26">
        <f t="shared" si="0"/>
        <v>0</v>
      </c>
      <c r="M10" s="26">
        <f t="shared" si="1"/>
        <v>0</v>
      </c>
      <c r="N10" s="103">
        <f>(((J10+K10)/1000*1.1*30*Таблица2[[#This Row],[Кол.проходов]])/1.2)*D10</f>
        <v>0</v>
      </c>
    </row>
    <row r="11" spans="1:14" ht="15" x14ac:dyDescent="0.2">
      <c r="A11" s="102">
        <v>12</v>
      </c>
      <c r="B11" s="13"/>
      <c r="C11" s="13"/>
      <c r="D11" s="13"/>
      <c r="E11" s="13"/>
      <c r="F11" s="26">
        <f>CEILING(Таблица2[[#This Row],[Толщина, мм]]/5,1)</f>
        <v>0</v>
      </c>
      <c r="G11" s="13"/>
      <c r="H11" s="13"/>
      <c r="I11" s="13"/>
      <c r="J11" s="13"/>
      <c r="K11" s="13"/>
      <c r="L11" s="26">
        <f t="shared" si="0"/>
        <v>0</v>
      </c>
      <c r="M11" s="26">
        <f t="shared" si="1"/>
        <v>0</v>
      </c>
      <c r="N11" s="103">
        <f>(((J11+K11)/1000*1.1*30*Таблица2[[#This Row],[Кол.проходов]])/1.2)*D11</f>
        <v>0</v>
      </c>
    </row>
    <row r="12" spans="1:14" ht="15" x14ac:dyDescent="0.2">
      <c r="A12" s="102">
        <v>13</v>
      </c>
      <c r="B12" s="13"/>
      <c r="C12" s="13"/>
      <c r="D12" s="13"/>
      <c r="E12" s="13"/>
      <c r="F12" s="26">
        <f>CEILING(Таблица2[[#This Row],[Толщина, мм]]/5,1)</f>
        <v>0</v>
      </c>
      <c r="G12" s="13"/>
      <c r="H12" s="13"/>
      <c r="I12" s="13"/>
      <c r="J12" s="13"/>
      <c r="K12" s="13"/>
      <c r="L12" s="26">
        <f t="shared" si="0"/>
        <v>0</v>
      </c>
      <c r="M12" s="26">
        <f t="shared" si="1"/>
        <v>0</v>
      </c>
      <c r="N12" s="103">
        <f>(((J12+K12)/1000*1.1*30*Таблица2[[#This Row],[Кол.проходов]])/1.2)*D12</f>
        <v>0</v>
      </c>
    </row>
    <row r="13" spans="1:14" ht="15" x14ac:dyDescent="0.2">
      <c r="A13" s="102">
        <v>14</v>
      </c>
      <c r="B13" s="13"/>
      <c r="C13" s="13"/>
      <c r="D13" s="13"/>
      <c r="E13" s="13"/>
      <c r="F13" s="26">
        <f>CEILING(Таблица2[[#This Row],[Толщина, мм]]/5,1)</f>
        <v>0</v>
      </c>
      <c r="G13" s="13"/>
      <c r="H13" s="13"/>
      <c r="I13" s="13"/>
      <c r="J13" s="13"/>
      <c r="K13" s="13"/>
      <c r="L13" s="26">
        <f t="shared" si="0"/>
        <v>0</v>
      </c>
      <c r="M13" s="26">
        <f t="shared" si="1"/>
        <v>0</v>
      </c>
      <c r="N13" s="103">
        <f>(((J13+K13)/1000*1.1*30*Таблица2[[#This Row],[Кол.проходов]])/1.2)*D13</f>
        <v>0</v>
      </c>
    </row>
    <row r="14" spans="1:14" ht="15" x14ac:dyDescent="0.2">
      <c r="A14" s="102">
        <v>15</v>
      </c>
      <c r="B14" s="13"/>
      <c r="C14" s="13"/>
      <c r="D14" s="13"/>
      <c r="E14" s="13"/>
      <c r="F14" s="26">
        <f>CEILING(Таблица2[[#This Row],[Толщина, мм]]/5,1)</f>
        <v>0</v>
      </c>
      <c r="G14" s="13"/>
      <c r="H14" s="13"/>
      <c r="I14" s="13"/>
      <c r="J14" s="13"/>
      <c r="K14" s="13"/>
      <c r="L14" s="26">
        <f t="shared" si="0"/>
        <v>0</v>
      </c>
      <c r="M14" s="26">
        <f t="shared" si="1"/>
        <v>0</v>
      </c>
      <c r="N14" s="103">
        <f>(((J14+K14)/1000*1.1*30*Таблица2[[#This Row],[Кол.проходов]])/1.2)*D14</f>
        <v>0</v>
      </c>
    </row>
    <row r="15" spans="1:14" ht="15" x14ac:dyDescent="0.2">
      <c r="A15" s="102">
        <v>16</v>
      </c>
      <c r="B15" s="13"/>
      <c r="C15" s="13"/>
      <c r="D15" s="13"/>
      <c r="E15" s="13"/>
      <c r="F15" s="26">
        <f>CEILING(Таблица2[[#This Row],[Толщина, мм]]/5,1)</f>
        <v>0</v>
      </c>
      <c r="G15" s="13"/>
      <c r="H15" s="13"/>
      <c r="I15" s="13"/>
      <c r="J15" s="13"/>
      <c r="K15" s="13"/>
      <c r="L15" s="26">
        <f t="shared" si="0"/>
        <v>0</v>
      </c>
      <c r="M15" s="26">
        <f t="shared" si="1"/>
        <v>0</v>
      </c>
      <c r="N15" s="103">
        <f>(((J15+K15)/1000*1.1*30*Таблица2[[#This Row],[Кол.проходов]])/1.2)*D15</f>
        <v>0</v>
      </c>
    </row>
    <row r="16" spans="1:14" ht="15" x14ac:dyDescent="0.2">
      <c r="A16" s="102">
        <v>17</v>
      </c>
      <c r="B16" s="13"/>
      <c r="C16" s="13"/>
      <c r="D16" s="13"/>
      <c r="E16" s="13"/>
      <c r="F16" s="26">
        <f>CEILING(Таблица2[[#This Row],[Толщина, мм]]/5,1)</f>
        <v>0</v>
      </c>
      <c r="G16" s="13"/>
      <c r="H16" s="13"/>
      <c r="I16" s="13"/>
      <c r="J16" s="13"/>
      <c r="K16" s="13"/>
      <c r="L16" s="26">
        <f t="shared" si="0"/>
        <v>0</v>
      </c>
      <c r="M16" s="26">
        <f t="shared" si="1"/>
        <v>0</v>
      </c>
      <c r="N16" s="103">
        <f>(((J16+K16)/1000*1.1*30*Таблица2[[#This Row],[Кол.проходов]])/1.2)*D16</f>
        <v>0</v>
      </c>
    </row>
    <row r="17" spans="1:14" ht="15" x14ac:dyDescent="0.2">
      <c r="A17" s="102">
        <v>18</v>
      </c>
      <c r="B17" s="13"/>
      <c r="C17" s="13"/>
      <c r="D17" s="13"/>
      <c r="E17" s="13"/>
      <c r="F17" s="26">
        <f>CEILING(Таблица2[[#This Row],[Толщина, мм]]/5,1)</f>
        <v>0</v>
      </c>
      <c r="G17" s="13"/>
      <c r="H17" s="13"/>
      <c r="I17" s="13"/>
      <c r="J17" s="13"/>
      <c r="K17" s="13"/>
      <c r="L17" s="26">
        <f t="shared" si="0"/>
        <v>0</v>
      </c>
      <c r="M17" s="26">
        <f t="shared" si="1"/>
        <v>0</v>
      </c>
      <c r="N17" s="103">
        <f>(((J17+K17)/1000*1.1*30*Таблица2[[#This Row],[Кол.проходов]])/1.2)*D17</f>
        <v>0</v>
      </c>
    </row>
    <row r="18" spans="1:14" ht="15" x14ac:dyDescent="0.2">
      <c r="A18" s="102">
        <v>19</v>
      </c>
      <c r="B18" s="13"/>
      <c r="C18" s="13"/>
      <c r="D18" s="13"/>
      <c r="E18" s="13"/>
      <c r="F18" s="26">
        <f>CEILING(Таблица2[[#This Row],[Толщина, мм]]/5,1)</f>
        <v>0</v>
      </c>
      <c r="G18" s="13"/>
      <c r="H18" s="13"/>
      <c r="I18" s="13"/>
      <c r="J18" s="13"/>
      <c r="K18" s="13"/>
      <c r="L18" s="26">
        <f t="shared" si="0"/>
        <v>0</v>
      </c>
      <c r="M18" s="26">
        <f t="shared" si="1"/>
        <v>0</v>
      </c>
      <c r="N18" s="103">
        <f>(((J18+K18)/1000*1.1*30*Таблица2[[#This Row],[Кол.проходов]])/1.2)*D18</f>
        <v>0</v>
      </c>
    </row>
    <row r="19" spans="1:14" ht="15" x14ac:dyDescent="0.2">
      <c r="A19" s="102">
        <v>20</v>
      </c>
      <c r="B19" s="13"/>
      <c r="C19" s="13"/>
      <c r="D19" s="13"/>
      <c r="E19" s="13"/>
      <c r="F19" s="26">
        <f>CEILING(Таблица2[[#This Row],[Толщина, мм]]/5,1)</f>
        <v>0</v>
      </c>
      <c r="G19" s="13"/>
      <c r="H19" s="13"/>
      <c r="I19" s="13"/>
      <c r="J19" s="13"/>
      <c r="K19" s="13"/>
      <c r="L19" s="26">
        <f t="shared" si="0"/>
        <v>0</v>
      </c>
      <c r="M19" s="26">
        <f t="shared" si="1"/>
        <v>0</v>
      </c>
      <c r="N19" s="103">
        <f>(((J19+K19)/1000*1.1*30*Таблица2[[#This Row],[Кол.проходов]])/1.2)*D19</f>
        <v>0</v>
      </c>
    </row>
    <row r="20" spans="1:14" ht="15" x14ac:dyDescent="0.2">
      <c r="A20" s="102">
        <v>21</v>
      </c>
      <c r="B20" s="13"/>
      <c r="C20" s="13"/>
      <c r="D20" s="13"/>
      <c r="E20" s="13"/>
      <c r="F20" s="26">
        <f>CEILING(Таблица2[[#This Row],[Толщина, мм]]/5,1)</f>
        <v>0</v>
      </c>
      <c r="G20" s="13"/>
      <c r="H20" s="13"/>
      <c r="I20" s="13"/>
      <c r="J20" s="13"/>
      <c r="K20" s="13"/>
      <c r="L20" s="26">
        <f t="shared" si="0"/>
        <v>0</v>
      </c>
      <c r="M20" s="26">
        <f t="shared" si="1"/>
        <v>0</v>
      </c>
      <c r="N20" s="103">
        <f>(((J20+K20)/1000*1.1*30*Таблица2[[#This Row],[Кол.проходов]])/1.2)*D20</f>
        <v>0</v>
      </c>
    </row>
    <row r="21" spans="1:14" ht="15" x14ac:dyDescent="0.2">
      <c r="A21" s="102">
        <v>22</v>
      </c>
      <c r="B21" s="13"/>
      <c r="C21" s="13"/>
      <c r="D21" s="13"/>
      <c r="E21" s="13"/>
      <c r="F21" s="26">
        <f>CEILING(Таблица2[[#This Row],[Толщина, мм]]/5,1)</f>
        <v>0</v>
      </c>
      <c r="G21" s="13"/>
      <c r="H21" s="13"/>
      <c r="I21" s="13"/>
      <c r="J21" s="13"/>
      <c r="K21" s="13"/>
      <c r="L21" s="26">
        <f t="shared" si="0"/>
        <v>0</v>
      </c>
      <c r="M21" s="26">
        <f t="shared" si="1"/>
        <v>0</v>
      </c>
      <c r="N21" s="103">
        <f>(((J21+K21)/1000*1.1*30*Таблица2[[#This Row],[Кол.проходов]])/1.2)*D21</f>
        <v>0</v>
      </c>
    </row>
    <row r="22" spans="1:14" ht="15" x14ac:dyDescent="0.2">
      <c r="A22" s="102">
        <v>23</v>
      </c>
      <c r="B22" s="13"/>
      <c r="C22" s="13"/>
      <c r="D22" s="13"/>
      <c r="E22" s="13"/>
      <c r="F22" s="26">
        <f>CEILING(Таблица2[[#This Row],[Толщина, мм]]/5,1)</f>
        <v>0</v>
      </c>
      <c r="G22" s="13"/>
      <c r="H22" s="13"/>
      <c r="I22" s="13"/>
      <c r="J22" s="13"/>
      <c r="K22" s="13"/>
      <c r="L22" s="26">
        <f t="shared" si="0"/>
        <v>0</v>
      </c>
      <c r="M22" s="26">
        <f t="shared" si="1"/>
        <v>0</v>
      </c>
      <c r="N22" s="103">
        <f>(((J22+K22)/1000*1.1*30*Таблица2[[#This Row],[Кол.проходов]])/1.2)*D22</f>
        <v>0</v>
      </c>
    </row>
    <row r="23" spans="1:14" ht="15" x14ac:dyDescent="0.2">
      <c r="A23" s="102">
        <v>24</v>
      </c>
      <c r="B23" s="13"/>
      <c r="C23" s="13"/>
      <c r="D23" s="13"/>
      <c r="E23" s="13"/>
      <c r="F23" s="26">
        <f>CEILING(Таблица2[[#This Row],[Толщина, мм]]/5,1)</f>
        <v>0</v>
      </c>
      <c r="G23" s="13"/>
      <c r="H23" s="13"/>
      <c r="I23" s="13"/>
      <c r="J23" s="13"/>
      <c r="K23" s="13"/>
      <c r="L23" s="26">
        <f t="shared" si="0"/>
        <v>0</v>
      </c>
      <c r="M23" s="26">
        <f t="shared" si="1"/>
        <v>0</v>
      </c>
      <c r="N23" s="103">
        <f>(((J23+K23)/1000*1.1*30*Таблица2[[#This Row],[Кол.проходов]])/1.2)*D23</f>
        <v>0</v>
      </c>
    </row>
    <row r="24" spans="1:14" ht="15" x14ac:dyDescent="0.2">
      <c r="A24" s="102">
        <v>25</v>
      </c>
      <c r="B24" s="13"/>
      <c r="C24" s="13"/>
      <c r="D24" s="13"/>
      <c r="E24" s="13"/>
      <c r="F24" s="26">
        <f>CEILING(Таблица2[[#This Row],[Толщина, мм]]/5,1)</f>
        <v>0</v>
      </c>
      <c r="G24" s="13"/>
      <c r="H24" s="13"/>
      <c r="I24" s="13"/>
      <c r="J24" s="13"/>
      <c r="K24" s="13"/>
      <c r="L24" s="26">
        <f t="shared" si="0"/>
        <v>0</v>
      </c>
      <c r="M24" s="26">
        <f t="shared" si="1"/>
        <v>0</v>
      </c>
      <c r="N24" s="103">
        <f>(((J24+K24)/1000*1.1*30*Таблица2[[#This Row],[Кол.проходов]])/1.2)*D24</f>
        <v>0</v>
      </c>
    </row>
    <row r="25" spans="1:14" ht="15" x14ac:dyDescent="0.2">
      <c r="A25" s="102">
        <v>26</v>
      </c>
      <c r="B25" s="13"/>
      <c r="C25" s="13"/>
      <c r="D25" s="13"/>
      <c r="E25" s="13"/>
      <c r="F25" s="26">
        <f>CEILING(Таблица2[[#This Row],[Толщина, мм]]/5,1)</f>
        <v>0</v>
      </c>
      <c r="G25" s="13"/>
      <c r="H25" s="13"/>
      <c r="I25" s="13"/>
      <c r="J25" s="13"/>
      <c r="K25" s="13"/>
      <c r="L25" s="26">
        <f t="shared" si="0"/>
        <v>0</v>
      </c>
      <c r="M25" s="26">
        <f t="shared" si="1"/>
        <v>0</v>
      </c>
      <c r="N25" s="103">
        <f>(((J25+K25)/1000*1.1*30*Таблица2[[#This Row],[Кол.проходов]])/1.2)*D25</f>
        <v>0</v>
      </c>
    </row>
    <row r="26" spans="1:14" ht="15" x14ac:dyDescent="0.2">
      <c r="A26" s="102">
        <v>27</v>
      </c>
      <c r="B26" s="13"/>
      <c r="C26" s="13"/>
      <c r="D26" s="13"/>
      <c r="E26" s="13"/>
      <c r="F26" s="26">
        <f>CEILING(Таблица2[[#This Row],[Толщина, мм]]/5,1)</f>
        <v>0</v>
      </c>
      <c r="G26" s="13"/>
      <c r="H26" s="13"/>
      <c r="I26" s="13"/>
      <c r="J26" s="13"/>
      <c r="K26" s="13"/>
      <c r="L26" s="26">
        <f t="shared" si="0"/>
        <v>0</v>
      </c>
      <c r="M26" s="26">
        <f t="shared" si="1"/>
        <v>0</v>
      </c>
      <c r="N26" s="103">
        <f>(((J26+K26)/1000*1.1*30*Таблица2[[#This Row],[Кол.проходов]])/1.2)*D26</f>
        <v>0</v>
      </c>
    </row>
    <row r="27" spans="1:14" ht="15" x14ac:dyDescent="0.2">
      <c r="A27" s="102">
        <v>28</v>
      </c>
      <c r="B27" s="13"/>
      <c r="C27" s="13"/>
      <c r="D27" s="13"/>
      <c r="E27" s="13"/>
      <c r="F27" s="26">
        <f>CEILING(Таблица2[[#This Row],[Толщина, мм]]/5,1)</f>
        <v>0</v>
      </c>
      <c r="G27" s="13"/>
      <c r="H27" s="13"/>
      <c r="I27" s="13"/>
      <c r="J27" s="13"/>
      <c r="K27" s="13"/>
      <c r="L27" s="26">
        <f t="shared" si="0"/>
        <v>0</v>
      </c>
      <c r="M27" s="26">
        <f t="shared" si="1"/>
        <v>0</v>
      </c>
      <c r="N27" s="103">
        <f>(((J27+K27)/1000*1.1*30*Таблица2[[#This Row],[Кол.проходов]])/1.2)*D27</f>
        <v>0</v>
      </c>
    </row>
    <row r="28" spans="1:14" ht="15" x14ac:dyDescent="0.2">
      <c r="A28" s="102">
        <v>29</v>
      </c>
      <c r="B28" s="13"/>
      <c r="C28" s="13"/>
      <c r="D28" s="13"/>
      <c r="E28" s="13"/>
      <c r="F28" s="26">
        <f>CEILING(Таблица2[[#This Row],[Толщина, мм]]/5,1)</f>
        <v>0</v>
      </c>
      <c r="G28" s="13"/>
      <c r="H28" s="13"/>
      <c r="I28" s="13"/>
      <c r="J28" s="13"/>
      <c r="K28" s="13"/>
      <c r="L28" s="26">
        <f t="shared" si="0"/>
        <v>0</v>
      </c>
      <c r="M28" s="26">
        <f t="shared" si="1"/>
        <v>0</v>
      </c>
      <c r="N28" s="103">
        <f>(((J28+K28)/1000*1.1*30*Таблица2[[#This Row],[Кол.проходов]])/1.2)*D28</f>
        <v>0</v>
      </c>
    </row>
    <row r="29" spans="1:14" ht="15" x14ac:dyDescent="0.2">
      <c r="A29" s="102">
        <v>30</v>
      </c>
      <c r="B29" s="13"/>
      <c r="C29" s="13"/>
      <c r="D29" s="13"/>
      <c r="E29" s="13"/>
      <c r="F29" s="26">
        <f>CEILING(Таблица2[[#This Row],[Толщина, мм]]/5,1)</f>
        <v>0</v>
      </c>
      <c r="G29" s="13"/>
      <c r="H29" s="13"/>
      <c r="I29" s="13"/>
      <c r="J29" s="13"/>
      <c r="K29" s="13"/>
      <c r="L29" s="26">
        <f t="shared" si="0"/>
        <v>0</v>
      </c>
      <c r="M29" s="26">
        <f t="shared" si="1"/>
        <v>0</v>
      </c>
      <c r="N29" s="103">
        <f>(((J29+K29)/1000*1.1*30*Таблица2[[#This Row],[Кол.проходов]])/1.2)*D29</f>
        <v>0</v>
      </c>
    </row>
    <row r="30" spans="1:14" ht="15" x14ac:dyDescent="0.2">
      <c r="A30" s="102">
        <v>31</v>
      </c>
      <c r="B30" s="13"/>
      <c r="C30" s="13"/>
      <c r="D30" s="13"/>
      <c r="E30" s="13"/>
      <c r="F30" s="26">
        <f>CEILING(Таблица2[[#This Row],[Толщина, мм]]/5,1)</f>
        <v>0</v>
      </c>
      <c r="G30" s="13"/>
      <c r="H30" s="13"/>
      <c r="I30" s="13"/>
      <c r="J30" s="13"/>
      <c r="K30" s="13"/>
      <c r="L30" s="26">
        <f t="shared" si="0"/>
        <v>0</v>
      </c>
      <c r="M30" s="26">
        <f t="shared" si="1"/>
        <v>0</v>
      </c>
      <c r="N30" s="103">
        <f>(((J30+K30)/1000*1.1*30*Таблица2[[#This Row],[Кол.проходов]])/1.2)*D30</f>
        <v>0</v>
      </c>
    </row>
    <row r="31" spans="1:14" ht="15" x14ac:dyDescent="0.2">
      <c r="A31" s="102">
        <v>32</v>
      </c>
      <c r="B31" s="13"/>
      <c r="C31" s="13"/>
      <c r="D31" s="13"/>
      <c r="E31" s="13"/>
      <c r="F31" s="26">
        <f>CEILING(Таблица2[[#This Row],[Толщина, мм]]/5,1)</f>
        <v>0</v>
      </c>
      <c r="G31" s="13"/>
      <c r="H31" s="13"/>
      <c r="I31" s="13"/>
      <c r="J31" s="13"/>
      <c r="K31" s="13"/>
      <c r="L31" s="26">
        <f t="shared" si="0"/>
        <v>0</v>
      </c>
      <c r="M31" s="26">
        <f t="shared" si="1"/>
        <v>0</v>
      </c>
      <c r="N31" s="103">
        <f>(((J31+K31)/1000*1.1*30*Таблица2[[#This Row],[Кол.проходов]])/1.2)*D31</f>
        <v>0</v>
      </c>
    </row>
    <row r="32" spans="1:14" ht="15" x14ac:dyDescent="0.2">
      <c r="A32" s="102">
        <v>33</v>
      </c>
      <c r="B32" s="13"/>
      <c r="C32" s="13"/>
      <c r="D32" s="13"/>
      <c r="E32" s="13"/>
      <c r="F32" s="26">
        <f>CEILING(Таблица2[[#This Row],[Толщина, мм]]/5,1)</f>
        <v>0</v>
      </c>
      <c r="G32" s="13"/>
      <c r="H32" s="13"/>
      <c r="I32" s="13"/>
      <c r="J32" s="13"/>
      <c r="K32" s="13"/>
      <c r="L32" s="26">
        <f t="shared" si="0"/>
        <v>0</v>
      </c>
      <c r="M32" s="26">
        <f t="shared" si="1"/>
        <v>0</v>
      </c>
      <c r="N32" s="103">
        <f>(((J32+K32)/1000*1.1*30*Таблица2[[#This Row],[Кол.проходов]])/1.2)*D32</f>
        <v>0</v>
      </c>
    </row>
    <row r="33" spans="1:14" ht="15" x14ac:dyDescent="0.2">
      <c r="A33" s="102">
        <v>34</v>
      </c>
      <c r="B33" s="13"/>
      <c r="C33" s="13"/>
      <c r="D33" s="13"/>
      <c r="E33" s="13"/>
      <c r="F33" s="26">
        <f>CEILING(Таблица2[[#This Row],[Толщина, мм]]/5,1)</f>
        <v>0</v>
      </c>
      <c r="G33" s="13"/>
      <c r="H33" s="13"/>
      <c r="I33" s="13"/>
      <c r="J33" s="13"/>
      <c r="K33" s="13"/>
      <c r="L33" s="26">
        <f t="shared" si="0"/>
        <v>0</v>
      </c>
      <c r="M33" s="26">
        <f t="shared" si="1"/>
        <v>0</v>
      </c>
      <c r="N33" s="103">
        <f>(((J33+K33)/1000*1.1*30*Таблица2[[#This Row],[Кол.проходов]])/1.2)*D33</f>
        <v>0</v>
      </c>
    </row>
    <row r="34" spans="1:14" ht="15" x14ac:dyDescent="0.2">
      <c r="A34" s="102">
        <v>35</v>
      </c>
      <c r="B34" s="13"/>
      <c r="C34" s="13"/>
      <c r="D34" s="13"/>
      <c r="E34" s="13"/>
      <c r="F34" s="26">
        <f>CEILING(Таблица2[[#This Row],[Толщина, мм]]/5,1)</f>
        <v>0</v>
      </c>
      <c r="G34" s="13"/>
      <c r="H34" s="13"/>
      <c r="I34" s="13"/>
      <c r="J34" s="13"/>
      <c r="K34" s="13"/>
      <c r="L34" s="26">
        <f t="shared" ref="L34:L51" si="2">D34*H34</f>
        <v>0</v>
      </c>
      <c r="M34" s="26">
        <f t="shared" si="1"/>
        <v>0</v>
      </c>
      <c r="N34" s="103">
        <f>(((J34+K34)/1000*1.1*30*Таблица2[[#This Row],[Кол.проходов]])/1.2)*D34</f>
        <v>0</v>
      </c>
    </row>
    <row r="35" spans="1:14" ht="15" x14ac:dyDescent="0.2">
      <c r="A35" s="102">
        <v>36</v>
      </c>
      <c r="B35" s="13"/>
      <c r="C35" s="13"/>
      <c r="D35" s="13"/>
      <c r="E35" s="13"/>
      <c r="F35" s="26">
        <f>CEILING(Таблица2[[#This Row],[Толщина, мм]]/5,1)</f>
        <v>0</v>
      </c>
      <c r="G35" s="13"/>
      <c r="H35" s="13"/>
      <c r="I35" s="13"/>
      <c r="J35" s="13"/>
      <c r="K35" s="13"/>
      <c r="L35" s="26">
        <f t="shared" si="2"/>
        <v>0</v>
      </c>
      <c r="M35" s="26">
        <f t="shared" si="1"/>
        <v>0</v>
      </c>
      <c r="N35" s="103">
        <f>(((J35+K35)/1000*1.1*30*Таблица2[[#This Row],[Кол.проходов]])/1.2)*D35</f>
        <v>0</v>
      </c>
    </row>
    <row r="36" spans="1:14" ht="15" x14ac:dyDescent="0.2">
      <c r="A36" s="102">
        <v>37</v>
      </c>
      <c r="B36" s="13"/>
      <c r="C36" s="13"/>
      <c r="D36" s="13"/>
      <c r="E36" s="13"/>
      <c r="F36" s="26">
        <f>CEILING(Таблица2[[#This Row],[Толщина, мм]]/5,1)</f>
        <v>0</v>
      </c>
      <c r="G36" s="13"/>
      <c r="H36" s="13"/>
      <c r="I36" s="13"/>
      <c r="J36" s="13"/>
      <c r="K36" s="13"/>
      <c r="L36" s="26">
        <f t="shared" si="2"/>
        <v>0</v>
      </c>
      <c r="M36" s="26">
        <f t="shared" si="1"/>
        <v>0</v>
      </c>
      <c r="N36" s="103">
        <f>(((J36+K36)/1000*1.1*30*Таблица2[[#This Row],[Кол.проходов]])/1.2)*D36</f>
        <v>0</v>
      </c>
    </row>
    <row r="37" spans="1:14" ht="15" x14ac:dyDescent="0.2">
      <c r="A37" s="102">
        <v>38</v>
      </c>
      <c r="B37" s="13"/>
      <c r="C37" s="13"/>
      <c r="D37" s="13"/>
      <c r="E37" s="13"/>
      <c r="F37" s="26">
        <f>CEILING(Таблица2[[#This Row],[Толщина, мм]]/5,1)</f>
        <v>0</v>
      </c>
      <c r="G37" s="13"/>
      <c r="H37" s="13"/>
      <c r="I37" s="13"/>
      <c r="J37" s="13"/>
      <c r="K37" s="13"/>
      <c r="L37" s="26">
        <f t="shared" si="2"/>
        <v>0</v>
      </c>
      <c r="M37" s="26">
        <f t="shared" si="1"/>
        <v>0</v>
      </c>
      <c r="N37" s="103">
        <f>(((J37+K37)/1000*1.1*30*Таблица2[[#This Row],[Кол.проходов]])/1.2)*D37</f>
        <v>0</v>
      </c>
    </row>
    <row r="38" spans="1:14" ht="15" x14ac:dyDescent="0.2">
      <c r="A38" s="102">
        <v>39</v>
      </c>
      <c r="B38" s="13"/>
      <c r="C38" s="13"/>
      <c r="D38" s="13"/>
      <c r="E38" s="13"/>
      <c r="F38" s="26">
        <f>CEILING(Таблица2[[#This Row],[Толщина, мм]]/5,1)</f>
        <v>0</v>
      </c>
      <c r="G38" s="13"/>
      <c r="H38" s="13"/>
      <c r="I38" s="13"/>
      <c r="J38" s="13"/>
      <c r="K38" s="13"/>
      <c r="L38" s="26">
        <f>D38*H38</f>
        <v>0</v>
      </c>
      <c r="M38" s="26">
        <f t="shared" si="1"/>
        <v>0</v>
      </c>
      <c r="N38" s="103">
        <f>(((J38+K38)/1000*1.1*30*Таблица2[[#This Row],[Кол.проходов]])/1.2)*D38</f>
        <v>0</v>
      </c>
    </row>
    <row r="39" spans="1:14" ht="15" x14ac:dyDescent="0.2">
      <c r="A39" s="102">
        <v>40</v>
      </c>
      <c r="B39" s="13"/>
      <c r="C39" s="13"/>
      <c r="D39" s="13"/>
      <c r="E39" s="13"/>
      <c r="F39" s="26">
        <f>CEILING(Таблица2[[#This Row],[Толщина, мм]]/5,1)</f>
        <v>0</v>
      </c>
      <c r="G39" s="13"/>
      <c r="H39" s="13"/>
      <c r="I39" s="13"/>
      <c r="J39" s="13"/>
      <c r="K39" s="13"/>
      <c r="L39" s="26">
        <f t="shared" si="2"/>
        <v>0</v>
      </c>
      <c r="M39" s="26">
        <f t="shared" si="1"/>
        <v>0</v>
      </c>
      <c r="N39" s="103">
        <f>(((J39+K39)/1000*1.1*30*Таблица2[[#This Row],[Кол.проходов]])/1.2)*D39</f>
        <v>0</v>
      </c>
    </row>
    <row r="40" spans="1:14" ht="15" x14ac:dyDescent="0.2">
      <c r="A40" s="102">
        <v>41</v>
      </c>
      <c r="B40" s="13"/>
      <c r="C40" s="13"/>
      <c r="D40" s="13"/>
      <c r="E40" s="13"/>
      <c r="F40" s="26">
        <f>CEILING(Таблица2[[#This Row],[Толщина, мм]]/5,1)</f>
        <v>0</v>
      </c>
      <c r="G40" s="13"/>
      <c r="H40" s="13"/>
      <c r="I40" s="13"/>
      <c r="J40" s="13"/>
      <c r="K40" s="13"/>
      <c r="L40" s="26">
        <f t="shared" si="2"/>
        <v>0</v>
      </c>
      <c r="M40" s="26">
        <f t="shared" si="1"/>
        <v>0</v>
      </c>
      <c r="N40" s="103">
        <f>(((J40+K40)/1000*1.1*30*Таблица2[[#This Row],[Кол.проходов]])/1.2)*D40</f>
        <v>0</v>
      </c>
    </row>
    <row r="41" spans="1:14" ht="15" x14ac:dyDescent="0.2">
      <c r="A41" s="102">
        <v>42</v>
      </c>
      <c r="B41" s="13"/>
      <c r="C41" s="13"/>
      <c r="D41" s="13"/>
      <c r="E41" s="13"/>
      <c r="F41" s="26">
        <f>CEILING(Таблица2[[#This Row],[Толщина, мм]]/5,1)</f>
        <v>0</v>
      </c>
      <c r="G41" s="13"/>
      <c r="H41" s="13"/>
      <c r="I41" s="13"/>
      <c r="J41" s="13"/>
      <c r="K41" s="13"/>
      <c r="L41" s="26">
        <f t="shared" si="2"/>
        <v>0</v>
      </c>
      <c r="M41" s="26">
        <f t="shared" si="1"/>
        <v>0</v>
      </c>
      <c r="N41" s="103">
        <f>(((J41+K41)/1000*1.1*30*Таблица2[[#This Row],[Кол.проходов]])/1.2)*D41</f>
        <v>0</v>
      </c>
    </row>
    <row r="42" spans="1:14" ht="15" x14ac:dyDescent="0.2">
      <c r="A42" s="102">
        <v>43</v>
      </c>
      <c r="B42" s="13"/>
      <c r="C42" s="13"/>
      <c r="D42" s="13"/>
      <c r="E42" s="13"/>
      <c r="F42" s="26">
        <f>CEILING(Таблица2[[#This Row],[Толщина, мм]]/5,1)</f>
        <v>0</v>
      </c>
      <c r="G42" s="13"/>
      <c r="H42" s="13"/>
      <c r="I42" s="13"/>
      <c r="J42" s="13"/>
      <c r="K42" s="13"/>
      <c r="L42" s="26">
        <f t="shared" si="2"/>
        <v>0</v>
      </c>
      <c r="M42" s="26">
        <f t="shared" si="1"/>
        <v>0</v>
      </c>
      <c r="N42" s="103">
        <f>(((J42+K42)/1000*1.1*30*Таблица2[[#This Row],[Кол.проходов]])/1.2)*D42</f>
        <v>0</v>
      </c>
    </row>
    <row r="43" spans="1:14" ht="15" x14ac:dyDescent="0.2">
      <c r="A43" s="102">
        <v>44</v>
      </c>
      <c r="B43" s="13"/>
      <c r="C43" s="13"/>
      <c r="D43" s="13"/>
      <c r="E43" s="13"/>
      <c r="F43" s="26">
        <f>CEILING(Таблица2[[#This Row],[Толщина, мм]]/5,1)</f>
        <v>0</v>
      </c>
      <c r="G43" s="13"/>
      <c r="H43" s="13"/>
      <c r="I43" s="13"/>
      <c r="J43" s="13"/>
      <c r="K43" s="13"/>
      <c r="L43" s="26">
        <f t="shared" si="2"/>
        <v>0</v>
      </c>
      <c r="M43" s="26">
        <f t="shared" si="1"/>
        <v>0</v>
      </c>
      <c r="N43" s="103">
        <f>(((J43+K43)/1000*1.1*30*Таблица2[[#This Row],[Кол.проходов]])/1.2)*D43</f>
        <v>0</v>
      </c>
    </row>
    <row r="44" spans="1:14" ht="15" x14ac:dyDescent="0.2">
      <c r="A44" s="102">
        <v>45</v>
      </c>
      <c r="B44" s="13"/>
      <c r="C44" s="13"/>
      <c r="D44" s="13"/>
      <c r="E44" s="13"/>
      <c r="F44" s="26">
        <f>CEILING(Таблица2[[#This Row],[Толщина, мм]]/5,1)</f>
        <v>0</v>
      </c>
      <c r="G44" s="13"/>
      <c r="H44" s="13"/>
      <c r="I44" s="13"/>
      <c r="J44" s="13"/>
      <c r="K44" s="13"/>
      <c r="L44" s="26">
        <f t="shared" si="2"/>
        <v>0</v>
      </c>
      <c r="M44" s="26">
        <f t="shared" si="1"/>
        <v>0</v>
      </c>
      <c r="N44" s="103">
        <f>(((J44+K44)/1000*1.1*30*Таблица2[[#This Row],[Кол.проходов]])/1.2)*D44</f>
        <v>0</v>
      </c>
    </row>
    <row r="45" spans="1:14" ht="15" x14ac:dyDescent="0.2">
      <c r="A45" s="102">
        <v>46</v>
      </c>
      <c r="B45" s="13"/>
      <c r="C45" s="13"/>
      <c r="D45" s="13"/>
      <c r="E45" s="13"/>
      <c r="F45" s="26">
        <f>CEILING(Таблица2[[#This Row],[Толщина, мм]]/5,1)</f>
        <v>0</v>
      </c>
      <c r="G45" s="13"/>
      <c r="H45" s="13"/>
      <c r="I45" s="13"/>
      <c r="J45" s="13"/>
      <c r="K45" s="13"/>
      <c r="L45" s="26">
        <f t="shared" si="2"/>
        <v>0</v>
      </c>
      <c r="M45" s="26">
        <f t="shared" si="1"/>
        <v>0</v>
      </c>
      <c r="N45" s="103">
        <f>(((J45+K45)/1000*1.1*30*Таблица2[[#This Row],[Кол.проходов]])/1.2)*D45</f>
        <v>0</v>
      </c>
    </row>
    <row r="46" spans="1:14" ht="15" x14ac:dyDescent="0.2">
      <c r="A46" s="102">
        <v>47</v>
      </c>
      <c r="B46" s="13"/>
      <c r="C46" s="13"/>
      <c r="D46" s="13"/>
      <c r="E46" s="13"/>
      <c r="F46" s="26">
        <f>CEILING(Таблица2[[#This Row],[Толщина, мм]]/5,1)</f>
        <v>0</v>
      </c>
      <c r="G46" s="13"/>
      <c r="H46" s="13"/>
      <c r="I46" s="13"/>
      <c r="J46" s="13"/>
      <c r="K46" s="13"/>
      <c r="L46" s="26">
        <f t="shared" si="2"/>
        <v>0</v>
      </c>
      <c r="M46" s="26">
        <f t="shared" si="1"/>
        <v>0</v>
      </c>
      <c r="N46" s="103">
        <f>(((J46+K46)/1000*1.1*30*Таблица2[[#This Row],[Кол.проходов]])/1.2)*D46</f>
        <v>0</v>
      </c>
    </row>
    <row r="47" spans="1:14" ht="15" x14ac:dyDescent="0.2">
      <c r="A47" s="102">
        <v>48</v>
      </c>
      <c r="B47" s="13"/>
      <c r="C47" s="13"/>
      <c r="D47" s="13"/>
      <c r="E47" s="13"/>
      <c r="F47" s="26">
        <f>CEILING(Таблица2[[#This Row],[Толщина, мм]]/5,1)</f>
        <v>0</v>
      </c>
      <c r="G47" s="13"/>
      <c r="H47" s="13"/>
      <c r="I47" s="13"/>
      <c r="J47" s="13"/>
      <c r="K47" s="13"/>
      <c r="L47" s="26">
        <f t="shared" si="2"/>
        <v>0</v>
      </c>
      <c r="M47" s="26">
        <f t="shared" si="1"/>
        <v>0</v>
      </c>
      <c r="N47" s="103">
        <f>(((J47+K47)/1000*1.1*30*Таблица2[[#This Row],[Кол.проходов]])/1.2)*D47</f>
        <v>0</v>
      </c>
    </row>
    <row r="48" spans="1:14" ht="15" x14ac:dyDescent="0.2">
      <c r="A48" s="102">
        <v>49</v>
      </c>
      <c r="B48" s="13"/>
      <c r="C48" s="13"/>
      <c r="D48" s="13"/>
      <c r="E48" s="13"/>
      <c r="F48" s="26">
        <f>CEILING(Таблица2[[#This Row],[Толщина, мм]]/5,1)</f>
        <v>0</v>
      </c>
      <c r="G48" s="13"/>
      <c r="H48" s="13"/>
      <c r="I48" s="13"/>
      <c r="J48" s="13"/>
      <c r="K48" s="13"/>
      <c r="L48" s="26">
        <f t="shared" si="2"/>
        <v>0</v>
      </c>
      <c r="M48" s="26">
        <f t="shared" si="1"/>
        <v>0</v>
      </c>
      <c r="N48" s="103">
        <f>(((J48+K48)/1000*1.1*30*Таблица2[[#This Row],[Кол.проходов]])/1.2)*D48</f>
        <v>0</v>
      </c>
    </row>
    <row r="49" spans="1:14" ht="15" x14ac:dyDescent="0.2">
      <c r="A49" s="102">
        <v>50</v>
      </c>
      <c r="B49" s="13"/>
      <c r="C49" s="13"/>
      <c r="D49" s="13"/>
      <c r="E49" s="13"/>
      <c r="F49" s="26">
        <f>CEILING(Таблица2[[#This Row],[Толщина, мм]]/5,1)</f>
        <v>0</v>
      </c>
      <c r="G49" s="13"/>
      <c r="H49" s="13"/>
      <c r="I49" s="13"/>
      <c r="J49" s="13"/>
      <c r="K49" s="13"/>
      <c r="L49" s="26">
        <f t="shared" si="2"/>
        <v>0</v>
      </c>
      <c r="M49" s="26">
        <f t="shared" si="1"/>
        <v>0</v>
      </c>
      <c r="N49" s="103">
        <f>(((J49+K49)/1000*1.1*30*Таблица2[[#This Row],[Кол.проходов]])/1.2)*D49</f>
        <v>0</v>
      </c>
    </row>
    <row r="50" spans="1:14" ht="15" x14ac:dyDescent="0.2">
      <c r="A50" s="102">
        <v>51</v>
      </c>
      <c r="B50" s="13"/>
      <c r="C50" s="13"/>
      <c r="D50" s="13"/>
      <c r="E50" s="13"/>
      <c r="F50" s="26">
        <f>CEILING(Таблица2[[#This Row],[Толщина, мм]]/5,1)</f>
        <v>0</v>
      </c>
      <c r="G50" s="13"/>
      <c r="H50" s="13"/>
      <c r="I50" s="13"/>
      <c r="J50" s="13"/>
      <c r="K50" s="13"/>
      <c r="L50" s="26">
        <f t="shared" si="2"/>
        <v>0</v>
      </c>
      <c r="M50" s="26">
        <f t="shared" si="1"/>
        <v>0</v>
      </c>
      <c r="N50" s="103">
        <f>(((J50+K50)/1000*1.1*30*Таблица2[[#This Row],[Кол.проходов]])/1.2)*D50</f>
        <v>0</v>
      </c>
    </row>
    <row r="51" spans="1:14" ht="15" x14ac:dyDescent="0.2">
      <c r="A51" s="107">
        <v>52</v>
      </c>
      <c r="B51" s="31"/>
      <c r="C51" s="31"/>
      <c r="D51" s="31"/>
      <c r="E51" s="31"/>
      <c r="F51" s="26">
        <f>CEILING(Таблица2[[#This Row],[Толщина, мм]]/5,1)</f>
        <v>0</v>
      </c>
      <c r="G51" s="31"/>
      <c r="H51" s="31"/>
      <c r="I51" s="31"/>
      <c r="J51" s="31"/>
      <c r="K51" s="31"/>
      <c r="L51" s="29">
        <f t="shared" si="2"/>
        <v>0</v>
      </c>
      <c r="M51" s="26">
        <f t="shared" si="1"/>
        <v>0</v>
      </c>
      <c r="N51" s="103">
        <f>(((J51+K51)/1000*1.1*30*Таблица2[[#This Row],[Кол.проходов]])/1.2)*D51</f>
        <v>0</v>
      </c>
    </row>
    <row r="52" spans="1:14" ht="15" x14ac:dyDescent="0.2">
      <c r="L52" s="96">
        <f>SUM(L2:L51)</f>
        <v>2.2400000000000002</v>
      </c>
      <c r="M52" s="96">
        <f>SUM(M2:M51)</f>
        <v>0</v>
      </c>
      <c r="N52" s="96">
        <f>SUM(N2:N51)</f>
        <v>487.78620000000006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4"/>
  <sheetViews>
    <sheetView topLeftCell="A13" workbookViewId="0">
      <selection activeCell="A39" sqref="A39"/>
    </sheetView>
  </sheetViews>
  <sheetFormatPr defaultColWidth="9.33203125" defaultRowHeight="11.25" x14ac:dyDescent="0.2"/>
  <cols>
    <col min="1" max="1" width="35.5" style="37" customWidth="1"/>
    <col min="2" max="2" width="4.5" style="37" customWidth="1"/>
    <col min="3" max="4" width="9.33203125" style="37"/>
    <col min="5" max="5" width="20.6640625" style="37" customWidth="1"/>
    <col min="6" max="6" width="21.6640625" style="37" customWidth="1"/>
    <col min="7" max="7" width="16.1640625" style="37" customWidth="1"/>
    <col min="8" max="8" width="9.33203125" style="37"/>
    <col min="9" max="9" width="25.6640625" style="37" customWidth="1"/>
    <col min="10" max="10" width="19.6640625" style="37" customWidth="1"/>
    <col min="11" max="11" width="9.33203125" style="37"/>
    <col min="12" max="12" width="23.6640625" style="37" customWidth="1"/>
    <col min="13" max="13" width="9.33203125" style="37" customWidth="1"/>
    <col min="14" max="16384" width="9.33203125" style="37"/>
  </cols>
  <sheetData>
    <row r="1" spans="1:32" ht="19.5" thickBot="1" x14ac:dyDescent="0.35">
      <c r="I1" s="214" t="s">
        <v>32</v>
      </c>
      <c r="J1" s="215"/>
      <c r="L1" s="214" t="s">
        <v>105</v>
      </c>
      <c r="M1" s="215"/>
      <c r="X1" s="218" t="s">
        <v>33</v>
      </c>
      <c r="Y1" s="219"/>
      <c r="Z1" s="219"/>
      <c r="AA1" s="220"/>
      <c r="AC1" s="38">
        <v>0.5</v>
      </c>
      <c r="AD1" s="38">
        <v>1</v>
      </c>
      <c r="AE1" s="38">
        <v>2</v>
      </c>
      <c r="AF1" s="39">
        <v>3</v>
      </c>
    </row>
    <row r="2" spans="1:32" ht="19.5" thickBot="1" x14ac:dyDescent="0.35">
      <c r="A2" s="46" t="s">
        <v>34</v>
      </c>
      <c r="B2" s="93"/>
      <c r="E2" s="227" t="s">
        <v>35</v>
      </c>
      <c r="F2" s="228"/>
      <c r="G2" s="229"/>
      <c r="I2" s="216"/>
      <c r="J2" s="217"/>
      <c r="L2" s="233"/>
      <c r="M2" s="234"/>
      <c r="X2" s="221"/>
      <c r="Y2" s="222"/>
      <c r="Z2" s="222"/>
      <c r="AA2" s="223"/>
      <c r="AB2" s="40">
        <v>0.5</v>
      </c>
      <c r="AC2" s="38">
        <v>1</v>
      </c>
      <c r="AD2" s="38">
        <v>1.5</v>
      </c>
      <c r="AE2" s="38">
        <v>2</v>
      </c>
      <c r="AF2" s="39">
        <v>3</v>
      </c>
    </row>
    <row r="3" spans="1:32" ht="37.5" x14ac:dyDescent="0.3">
      <c r="A3" s="46" t="s">
        <v>36</v>
      </c>
      <c r="B3" s="93"/>
      <c r="E3" s="47" t="s">
        <v>35</v>
      </c>
      <c r="F3" s="47" t="s">
        <v>37</v>
      </c>
      <c r="G3" s="47" t="s">
        <v>38</v>
      </c>
      <c r="I3" s="48" t="s">
        <v>39</v>
      </c>
      <c r="J3" s="49" t="s">
        <v>40</v>
      </c>
      <c r="L3" s="86" t="s">
        <v>83</v>
      </c>
      <c r="M3" s="42">
        <v>93</v>
      </c>
      <c r="X3" s="221"/>
      <c r="Y3" s="222"/>
      <c r="Z3" s="222"/>
      <c r="AA3" s="223"/>
      <c r="AB3" s="40">
        <v>0.8</v>
      </c>
      <c r="AC3" s="38">
        <v>1</v>
      </c>
      <c r="AD3" s="38">
        <v>1.5</v>
      </c>
      <c r="AE3" s="38">
        <v>2</v>
      </c>
      <c r="AF3" s="39">
        <v>3</v>
      </c>
    </row>
    <row r="4" spans="1:32" ht="19.5" thickBot="1" x14ac:dyDescent="0.35">
      <c r="E4" s="41" t="s">
        <v>41</v>
      </c>
      <c r="F4" s="50">
        <v>120</v>
      </c>
      <c r="G4" s="42">
        <v>8</v>
      </c>
      <c r="I4" s="51">
        <v>0.5</v>
      </c>
      <c r="J4" s="51">
        <f>0.5*1.15</f>
        <v>0.57499999999999996</v>
      </c>
      <c r="L4" s="86" t="s">
        <v>84</v>
      </c>
      <c r="M4" s="42">
        <v>71</v>
      </c>
      <c r="X4" s="221"/>
      <c r="Y4" s="222"/>
      <c r="Z4" s="222"/>
      <c r="AA4" s="223"/>
      <c r="AB4" s="43">
        <v>1</v>
      </c>
      <c r="AC4" s="44">
        <v>1</v>
      </c>
      <c r="AD4" s="44">
        <v>1.5</v>
      </c>
      <c r="AE4" s="44">
        <v>2</v>
      </c>
      <c r="AF4" s="45">
        <v>3</v>
      </c>
    </row>
    <row r="5" spans="1:32" ht="19.5" thickBot="1" x14ac:dyDescent="0.35">
      <c r="A5" s="52" t="s">
        <v>42</v>
      </c>
      <c r="B5" s="53"/>
      <c r="E5" s="41" t="s">
        <v>43</v>
      </c>
      <c r="F5" s="50">
        <v>120</v>
      </c>
      <c r="G5" s="42">
        <v>8</v>
      </c>
      <c r="I5" s="51">
        <v>0.8</v>
      </c>
      <c r="J5" s="51">
        <f>0.8*1.15</f>
        <v>0.91999999999999993</v>
      </c>
      <c r="L5" s="86" t="s">
        <v>86</v>
      </c>
      <c r="M5" s="42">
        <v>160</v>
      </c>
      <c r="X5" s="221"/>
      <c r="Y5" s="222"/>
      <c r="Z5" s="222"/>
      <c r="AA5" s="223"/>
      <c r="AB5" s="43">
        <v>1.2</v>
      </c>
      <c r="AC5" s="44">
        <v>1</v>
      </c>
      <c r="AD5" s="44">
        <v>1.5</v>
      </c>
      <c r="AE5" s="44">
        <v>2</v>
      </c>
      <c r="AF5" s="45">
        <v>3</v>
      </c>
    </row>
    <row r="6" spans="1:32" ht="19.5" thickBot="1" x14ac:dyDescent="0.35">
      <c r="A6" s="52" t="s">
        <v>44</v>
      </c>
      <c r="B6" s="53"/>
      <c r="E6" s="41" t="s">
        <v>45</v>
      </c>
      <c r="F6" s="50">
        <v>110</v>
      </c>
      <c r="G6" s="42">
        <v>8</v>
      </c>
      <c r="I6" s="51">
        <v>1</v>
      </c>
      <c r="J6" s="51">
        <f>1*1.15</f>
        <v>1.1499999999999999</v>
      </c>
      <c r="L6" s="142" t="s">
        <v>85</v>
      </c>
      <c r="M6" s="42">
        <v>120</v>
      </c>
      <c r="X6" s="221"/>
      <c r="Y6" s="222"/>
      <c r="Z6" s="222"/>
      <c r="AA6" s="223"/>
      <c r="AB6" s="43">
        <v>1.5</v>
      </c>
      <c r="AC6" s="44">
        <v>1</v>
      </c>
      <c r="AD6" s="44">
        <v>1.5</v>
      </c>
      <c r="AE6" s="44">
        <v>2</v>
      </c>
      <c r="AF6" s="45">
        <v>3</v>
      </c>
    </row>
    <row r="7" spans="1:32" ht="19.5" thickBot="1" x14ac:dyDescent="0.35">
      <c r="A7" s="52" t="s">
        <v>46</v>
      </c>
      <c r="B7" s="53"/>
      <c r="E7" s="41" t="s">
        <v>47</v>
      </c>
      <c r="F7" s="50">
        <v>140</v>
      </c>
      <c r="G7" s="42">
        <v>8</v>
      </c>
      <c r="I7" s="51">
        <v>1.2</v>
      </c>
      <c r="J7" s="51">
        <f>1*1.15</f>
        <v>1.1499999999999999</v>
      </c>
      <c r="L7" s="86" t="s">
        <v>87</v>
      </c>
      <c r="M7" s="42">
        <v>600</v>
      </c>
      <c r="X7" s="221"/>
      <c r="Y7" s="222"/>
      <c r="Z7" s="222"/>
      <c r="AA7" s="223"/>
      <c r="AB7" s="43">
        <v>2</v>
      </c>
      <c r="AC7" s="44">
        <v>1</v>
      </c>
      <c r="AD7" s="44">
        <v>1.5</v>
      </c>
      <c r="AE7" s="44">
        <v>2</v>
      </c>
      <c r="AF7" s="45">
        <v>3</v>
      </c>
    </row>
    <row r="8" spans="1:32" ht="19.5" thickBot="1" x14ac:dyDescent="0.35">
      <c r="A8" s="52" t="s">
        <v>48</v>
      </c>
      <c r="B8" s="53"/>
      <c r="E8" s="41" t="s">
        <v>49</v>
      </c>
      <c r="F8" s="50">
        <v>760</v>
      </c>
      <c r="G8" s="42">
        <v>3</v>
      </c>
      <c r="I8" s="51">
        <v>1.5</v>
      </c>
      <c r="J8" s="51">
        <f>1.5*1.15</f>
        <v>1.7249999999999999</v>
      </c>
      <c r="L8" s="86" t="s">
        <v>88</v>
      </c>
      <c r="M8" s="42">
        <v>1000</v>
      </c>
      <c r="X8" s="221"/>
      <c r="Y8" s="222"/>
      <c r="Z8" s="222"/>
      <c r="AA8" s="223"/>
      <c r="AB8" s="43">
        <v>2.5</v>
      </c>
      <c r="AC8" s="44">
        <v>1.5</v>
      </c>
      <c r="AD8" s="44">
        <v>2</v>
      </c>
      <c r="AE8" s="44">
        <v>3</v>
      </c>
      <c r="AF8" s="45">
        <v>4</v>
      </c>
    </row>
    <row r="9" spans="1:32" ht="19.5" thickBot="1" x14ac:dyDescent="0.35">
      <c r="E9" s="41" t="s">
        <v>50</v>
      </c>
      <c r="F9" s="50">
        <v>450</v>
      </c>
      <c r="G9" s="42">
        <v>8</v>
      </c>
      <c r="I9" s="51">
        <v>2</v>
      </c>
      <c r="J9" s="51">
        <f>2*1.15</f>
        <v>2.2999999999999998</v>
      </c>
      <c r="L9" s="86" t="s">
        <v>89</v>
      </c>
      <c r="M9" s="42">
        <v>650</v>
      </c>
      <c r="X9" s="221"/>
      <c r="Y9" s="222"/>
      <c r="Z9" s="222"/>
      <c r="AA9" s="223"/>
      <c r="AB9" s="43">
        <v>3</v>
      </c>
      <c r="AC9" s="44">
        <v>1.5</v>
      </c>
      <c r="AD9" s="44">
        <v>2</v>
      </c>
      <c r="AE9" s="44">
        <v>3</v>
      </c>
      <c r="AF9" s="45">
        <v>4</v>
      </c>
    </row>
    <row r="10" spans="1:32" ht="19.5" thickBot="1" x14ac:dyDescent="0.35">
      <c r="A10" s="53" t="s">
        <v>51</v>
      </c>
      <c r="B10" s="53"/>
      <c r="E10" s="41" t="s">
        <v>52</v>
      </c>
      <c r="F10" s="50"/>
      <c r="G10" s="42"/>
      <c r="I10" s="51">
        <v>2.5</v>
      </c>
      <c r="J10" s="51">
        <f>2*1.15</f>
        <v>2.2999999999999998</v>
      </c>
      <c r="X10" s="221"/>
      <c r="Y10" s="222"/>
      <c r="Z10" s="222"/>
      <c r="AA10" s="223"/>
      <c r="AB10" s="43">
        <v>4</v>
      </c>
      <c r="AC10" s="44">
        <v>1.5</v>
      </c>
      <c r="AD10" s="44">
        <v>2</v>
      </c>
      <c r="AE10" s="44">
        <v>3</v>
      </c>
      <c r="AF10" s="45">
        <v>4</v>
      </c>
    </row>
    <row r="11" spans="1:32" ht="19.5" thickBot="1" x14ac:dyDescent="0.35">
      <c r="A11" s="53" t="s">
        <v>53</v>
      </c>
      <c r="B11" s="53"/>
      <c r="I11" s="51">
        <v>3</v>
      </c>
      <c r="J11" s="51">
        <f>2*1.15</f>
        <v>2.2999999999999998</v>
      </c>
      <c r="X11" s="221"/>
      <c r="Y11" s="222"/>
      <c r="Z11" s="222"/>
      <c r="AA11" s="223"/>
      <c r="AB11" s="43">
        <v>5</v>
      </c>
      <c r="AC11" s="44">
        <v>2</v>
      </c>
      <c r="AD11" s="44">
        <v>3</v>
      </c>
      <c r="AE11" s="44">
        <v>4</v>
      </c>
      <c r="AF11" s="45">
        <v>5</v>
      </c>
    </row>
    <row r="12" spans="1:32" ht="19.5" thickBot="1" x14ac:dyDescent="0.35">
      <c r="I12" s="51">
        <v>4</v>
      </c>
      <c r="J12" s="51">
        <f>3*1.15</f>
        <v>3.4499999999999997</v>
      </c>
      <c r="X12" s="221"/>
      <c r="Y12" s="222"/>
      <c r="Z12" s="222"/>
      <c r="AA12" s="223"/>
      <c r="AB12" s="43">
        <v>6</v>
      </c>
      <c r="AC12" s="44">
        <v>2</v>
      </c>
      <c r="AD12" s="44">
        <v>3</v>
      </c>
      <c r="AE12" s="44">
        <v>4</v>
      </c>
      <c r="AF12" s="45">
        <v>5</v>
      </c>
    </row>
    <row r="13" spans="1:32" ht="19.5" thickBot="1" x14ac:dyDescent="0.35">
      <c r="I13" s="51">
        <v>5</v>
      </c>
      <c r="J13" s="51">
        <f>3*1.15</f>
        <v>3.4499999999999997</v>
      </c>
      <c r="X13" s="221"/>
      <c r="Y13" s="222"/>
      <c r="Z13" s="222"/>
      <c r="AA13" s="223"/>
      <c r="AB13" s="43">
        <v>7</v>
      </c>
      <c r="AC13" s="44">
        <v>2</v>
      </c>
      <c r="AD13" s="44">
        <v>3</v>
      </c>
      <c r="AE13" s="44">
        <v>4</v>
      </c>
      <c r="AF13" s="45">
        <v>5</v>
      </c>
    </row>
    <row r="14" spans="1:32" ht="19.5" thickBot="1" x14ac:dyDescent="0.35">
      <c r="I14" s="51">
        <v>6</v>
      </c>
      <c r="J14" s="51">
        <f>3*1.15</f>
        <v>3.4499999999999997</v>
      </c>
      <c r="X14" s="221"/>
      <c r="Y14" s="222"/>
      <c r="Z14" s="222"/>
      <c r="AA14" s="223"/>
      <c r="AB14" s="43">
        <v>8</v>
      </c>
      <c r="AC14" s="44">
        <v>2</v>
      </c>
      <c r="AD14" s="44">
        <v>3</v>
      </c>
      <c r="AE14" s="44">
        <v>4</v>
      </c>
      <c r="AF14" s="45">
        <v>5</v>
      </c>
    </row>
    <row r="15" spans="1:32" ht="19.5" thickBot="1" x14ac:dyDescent="0.35">
      <c r="I15" s="51">
        <v>7</v>
      </c>
      <c r="J15" s="51">
        <f>4*1.15</f>
        <v>4.5999999999999996</v>
      </c>
      <c r="X15" s="221"/>
      <c r="Y15" s="222"/>
      <c r="Z15" s="222"/>
      <c r="AA15" s="223"/>
      <c r="AB15" s="43">
        <v>9</v>
      </c>
      <c r="AC15" s="44">
        <v>2</v>
      </c>
      <c r="AD15" s="44">
        <v>3</v>
      </c>
      <c r="AE15" s="44">
        <v>4</v>
      </c>
      <c r="AF15" s="45">
        <v>5</v>
      </c>
    </row>
    <row r="16" spans="1:32" ht="19.5" thickBot="1" x14ac:dyDescent="0.35">
      <c r="I16" s="51">
        <v>8</v>
      </c>
      <c r="J16" s="51">
        <f t="shared" ref="J16:J17" si="0">4*1.15</f>
        <v>4.5999999999999996</v>
      </c>
      <c r="X16" s="224"/>
      <c r="Y16" s="225"/>
      <c r="Z16" s="225"/>
      <c r="AA16" s="226"/>
      <c r="AB16" s="43">
        <v>10</v>
      </c>
      <c r="AC16" s="44">
        <v>2</v>
      </c>
      <c r="AD16" s="44">
        <v>3</v>
      </c>
      <c r="AE16" s="44">
        <v>4</v>
      </c>
      <c r="AF16" s="45">
        <v>5</v>
      </c>
    </row>
    <row r="17" spans="1:20" ht="15.75" x14ac:dyDescent="0.2">
      <c r="I17" s="51">
        <v>9</v>
      </c>
      <c r="J17" s="51">
        <f t="shared" si="0"/>
        <v>4.5999999999999996</v>
      </c>
    </row>
    <row r="18" spans="1:20" ht="15.75" x14ac:dyDescent="0.2">
      <c r="I18" s="51">
        <v>10</v>
      </c>
      <c r="J18" s="51">
        <f>5*1.15</f>
        <v>5.75</v>
      </c>
    </row>
    <row r="19" spans="1:20" ht="15.75" x14ac:dyDescent="0.2">
      <c r="I19" s="51">
        <v>12</v>
      </c>
      <c r="J19" s="51">
        <f>6*1.15</f>
        <v>6.8999999999999995</v>
      </c>
    </row>
    <row r="20" spans="1:20" ht="15.75" x14ac:dyDescent="0.2">
      <c r="I20" s="51">
        <v>16</v>
      </c>
      <c r="J20" s="51">
        <f>10*1.15</f>
        <v>11.5</v>
      </c>
    </row>
    <row r="21" spans="1:20" ht="15.75" x14ac:dyDescent="0.2">
      <c r="I21" s="51">
        <v>20</v>
      </c>
      <c r="J21" s="51">
        <f>12*1.15</f>
        <v>13.799999999999999</v>
      </c>
    </row>
    <row r="22" spans="1:20" ht="15.75" x14ac:dyDescent="0.2">
      <c r="I22" s="54"/>
      <c r="J22" s="54"/>
    </row>
    <row r="23" spans="1:20" ht="15.75" x14ac:dyDescent="0.2">
      <c r="I23" s="54"/>
      <c r="J23" s="54"/>
    </row>
    <row r="24" spans="1:20" ht="12" thickBot="1" x14ac:dyDescent="0.25"/>
    <row r="25" spans="1:20" ht="18.75" x14ac:dyDescent="0.3">
      <c r="A25" s="230" t="s">
        <v>54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2"/>
    </row>
    <row r="26" spans="1:20" ht="18.75" x14ac:dyDescent="0.2">
      <c r="A26" s="42"/>
      <c r="B26" s="42"/>
      <c r="C26" s="162">
        <v>0.5</v>
      </c>
      <c r="D26" s="162">
        <v>0.8</v>
      </c>
      <c r="E26" s="162">
        <v>1</v>
      </c>
      <c r="F26" s="162">
        <v>1.2</v>
      </c>
      <c r="G26" s="162">
        <v>1.5</v>
      </c>
      <c r="H26" s="162">
        <v>2</v>
      </c>
      <c r="I26" s="162">
        <v>2.5</v>
      </c>
      <c r="J26" s="162">
        <v>3</v>
      </c>
      <c r="K26" s="162">
        <v>4</v>
      </c>
      <c r="L26" s="162">
        <v>5</v>
      </c>
      <c r="M26" s="162">
        <v>6</v>
      </c>
      <c r="N26" s="162">
        <v>8</v>
      </c>
      <c r="O26" s="162">
        <v>10</v>
      </c>
      <c r="P26" s="162">
        <v>12</v>
      </c>
      <c r="Q26" s="162">
        <v>14</v>
      </c>
      <c r="R26" s="162">
        <v>16</v>
      </c>
      <c r="S26" s="162">
        <v>18</v>
      </c>
      <c r="T26" s="162">
        <v>20</v>
      </c>
    </row>
    <row r="27" spans="1:20" ht="18.75" x14ac:dyDescent="0.25">
      <c r="A27" s="86" t="s">
        <v>83</v>
      </c>
      <c r="B27" s="163">
        <v>1</v>
      </c>
      <c r="C27" s="55">
        <f>19*1.15</f>
        <v>21.849999999999998</v>
      </c>
      <c r="D27" s="55">
        <f>19*1.15</f>
        <v>21.849999999999998</v>
      </c>
      <c r="E27" s="55">
        <f t="shared" ref="E27:E29" si="1">19*1.15</f>
        <v>21.849999999999998</v>
      </c>
      <c r="F27" s="56">
        <f>21*1.15</f>
        <v>24.15</v>
      </c>
      <c r="G27" s="56">
        <f>23*1.15</f>
        <v>26.45</v>
      </c>
      <c r="H27" s="56">
        <f t="shared" ref="H27:H29" si="2">25*1.15</f>
        <v>28.749999999999996</v>
      </c>
      <c r="I27" s="56">
        <f>30*1.15</f>
        <v>34.5</v>
      </c>
      <c r="J27" s="56">
        <f>35*1.15</f>
        <v>40.25</v>
      </c>
      <c r="K27" s="56">
        <f>45*1.15</f>
        <v>51.749999999999993</v>
      </c>
      <c r="L27" s="56">
        <f>55*1.15</f>
        <v>63.249999999999993</v>
      </c>
      <c r="M27" s="56">
        <f>65*1.15</f>
        <v>74.75</v>
      </c>
      <c r="N27" s="56">
        <f>75*1.15</f>
        <v>86.25</v>
      </c>
      <c r="O27" s="56">
        <f>105*1.15</f>
        <v>120.74999999999999</v>
      </c>
      <c r="P27" s="56">
        <f>125*1.15</f>
        <v>143.75</v>
      </c>
      <c r="Q27" s="56">
        <f>150*1.15</f>
        <v>172.5</v>
      </c>
      <c r="R27" s="56">
        <f>175*1.15</f>
        <v>201.24999999999997</v>
      </c>
      <c r="S27" s="56">
        <f>250*1.15</f>
        <v>287.5</v>
      </c>
      <c r="T27" s="56">
        <f>300*1.15</f>
        <v>345</v>
      </c>
    </row>
    <row r="28" spans="1:20" ht="18.75" x14ac:dyDescent="0.25">
      <c r="A28" s="86" t="s">
        <v>84</v>
      </c>
      <c r="B28" s="163">
        <v>2</v>
      </c>
      <c r="C28" s="55">
        <f t="shared" ref="C28:D29" si="3">19*1.15</f>
        <v>21.849999999999998</v>
      </c>
      <c r="D28" s="55">
        <f t="shared" si="3"/>
        <v>21.849999999999998</v>
      </c>
      <c r="E28" s="55">
        <f t="shared" si="1"/>
        <v>21.849999999999998</v>
      </c>
      <c r="F28" s="56">
        <f t="shared" ref="F28:F29" si="4">21*1.15</f>
        <v>24.15</v>
      </c>
      <c r="G28" s="56">
        <f t="shared" ref="G28:G29" si="5">23*1.15</f>
        <v>26.45</v>
      </c>
      <c r="H28" s="56">
        <f t="shared" si="2"/>
        <v>28.749999999999996</v>
      </c>
      <c r="I28" s="56">
        <f t="shared" ref="I28:I29" si="6">30*1.15</f>
        <v>34.5</v>
      </c>
      <c r="J28" s="56">
        <f t="shared" ref="J28:J29" si="7">35*1.15</f>
        <v>40.25</v>
      </c>
      <c r="K28" s="56">
        <f t="shared" ref="K28:K29" si="8">45*1.15</f>
        <v>51.749999999999993</v>
      </c>
      <c r="L28" s="56">
        <f t="shared" ref="L28:L29" si="9">55*1.15</f>
        <v>63.249999999999993</v>
      </c>
      <c r="M28" s="56">
        <f t="shared" ref="M28:M29" si="10">65*1.15</f>
        <v>74.75</v>
      </c>
      <c r="N28" s="56">
        <f t="shared" ref="N28:N29" si="11">75*1.15</f>
        <v>86.25</v>
      </c>
      <c r="O28" s="56">
        <f t="shared" ref="O28:O29" si="12">105*1.15</f>
        <v>120.74999999999999</v>
      </c>
      <c r="P28" s="56">
        <f t="shared" ref="P28:P29" si="13">125*1.15</f>
        <v>143.75</v>
      </c>
      <c r="Q28" s="56">
        <f t="shared" ref="Q28:Q29" si="14">150*1.15</f>
        <v>172.5</v>
      </c>
      <c r="R28" s="56">
        <f t="shared" ref="R28:R29" si="15">175*1.15</f>
        <v>201.24999999999997</v>
      </c>
      <c r="S28" s="56">
        <f t="shared" ref="S28:S29" si="16">250*1.15</f>
        <v>287.5</v>
      </c>
      <c r="T28" s="56">
        <f t="shared" ref="T28:T29" si="17">300*1.15</f>
        <v>345</v>
      </c>
    </row>
    <row r="29" spans="1:20" ht="18.75" x14ac:dyDescent="0.25">
      <c r="A29" s="86" t="s">
        <v>86</v>
      </c>
      <c r="B29" s="163">
        <v>3</v>
      </c>
      <c r="C29" s="55">
        <f t="shared" si="3"/>
        <v>21.849999999999998</v>
      </c>
      <c r="D29" s="55">
        <f t="shared" si="3"/>
        <v>21.849999999999998</v>
      </c>
      <c r="E29" s="55">
        <f t="shared" si="1"/>
        <v>21.849999999999998</v>
      </c>
      <c r="F29" s="56">
        <f t="shared" si="4"/>
        <v>24.15</v>
      </c>
      <c r="G29" s="56">
        <f t="shared" si="5"/>
        <v>26.45</v>
      </c>
      <c r="H29" s="56">
        <f t="shared" si="2"/>
        <v>28.749999999999996</v>
      </c>
      <c r="I29" s="56">
        <f t="shared" si="6"/>
        <v>34.5</v>
      </c>
      <c r="J29" s="56">
        <f t="shared" si="7"/>
        <v>40.25</v>
      </c>
      <c r="K29" s="56">
        <f t="shared" si="8"/>
        <v>51.749999999999993</v>
      </c>
      <c r="L29" s="56">
        <f t="shared" si="9"/>
        <v>63.249999999999993</v>
      </c>
      <c r="M29" s="56">
        <f t="shared" si="10"/>
        <v>74.75</v>
      </c>
      <c r="N29" s="56">
        <f t="shared" si="11"/>
        <v>86.25</v>
      </c>
      <c r="O29" s="56">
        <f t="shared" si="12"/>
        <v>120.74999999999999</v>
      </c>
      <c r="P29" s="56">
        <f t="shared" si="13"/>
        <v>143.75</v>
      </c>
      <c r="Q29" s="56">
        <f t="shared" si="14"/>
        <v>172.5</v>
      </c>
      <c r="R29" s="56">
        <f t="shared" si="15"/>
        <v>201.24999999999997</v>
      </c>
      <c r="S29" s="56">
        <f t="shared" si="16"/>
        <v>287.5</v>
      </c>
      <c r="T29" s="56">
        <f t="shared" si="17"/>
        <v>345</v>
      </c>
    </row>
    <row r="30" spans="1:20" ht="18.75" x14ac:dyDescent="0.25">
      <c r="A30" s="142" t="s">
        <v>85</v>
      </c>
      <c r="B30" s="163">
        <v>4</v>
      </c>
      <c r="C30" s="55">
        <f>23*1.15</f>
        <v>26.45</v>
      </c>
      <c r="D30" s="55">
        <f>23*1.15</f>
        <v>26.45</v>
      </c>
      <c r="E30" s="55">
        <f t="shared" ref="E30:E32" si="18">23*1.15</f>
        <v>26.45</v>
      </c>
      <c r="F30" s="56">
        <f>25*1.15</f>
        <v>28.749999999999996</v>
      </c>
      <c r="G30" s="56">
        <f>25*1.15</f>
        <v>28.749999999999996</v>
      </c>
      <c r="H30" s="56">
        <f>35*1.15</f>
        <v>40.25</v>
      </c>
      <c r="I30" s="56">
        <f>50*1.15</f>
        <v>57.499999999999993</v>
      </c>
      <c r="J30" s="56">
        <f>50*1.15</f>
        <v>57.499999999999993</v>
      </c>
      <c r="K30" s="56">
        <f>65*1.15</f>
        <v>74.75</v>
      </c>
      <c r="L30" s="56">
        <f>85*1.15</f>
        <v>97.749999999999986</v>
      </c>
      <c r="M30" s="56">
        <f>110*1.15</f>
        <v>126.49999999999999</v>
      </c>
      <c r="N30" s="56">
        <f>130*1.15</f>
        <v>149.5</v>
      </c>
      <c r="O30" s="56">
        <f>300*1.15</f>
        <v>345</v>
      </c>
      <c r="P30" s="56">
        <f>300*1.15</f>
        <v>345</v>
      </c>
      <c r="Q30" s="56">
        <f>450*1.15</f>
        <v>517.5</v>
      </c>
      <c r="R30" s="56"/>
      <c r="S30" s="56"/>
      <c r="T30" s="56"/>
    </row>
    <row r="31" spans="1:20" ht="18.75" x14ac:dyDescent="0.25">
      <c r="A31" s="86" t="s">
        <v>87</v>
      </c>
      <c r="B31" s="163">
        <v>5</v>
      </c>
      <c r="C31" s="55"/>
      <c r="D31" s="56"/>
      <c r="E31" s="55">
        <f t="shared" si="18"/>
        <v>26.45</v>
      </c>
      <c r="F31" s="56"/>
      <c r="G31" s="56">
        <f>35*1.15</f>
        <v>40.25</v>
      </c>
      <c r="H31" s="56">
        <f>40*1.15</f>
        <v>46</v>
      </c>
      <c r="I31" s="56">
        <f t="shared" ref="I31:I33" si="19">50*1.15</f>
        <v>57.499999999999993</v>
      </c>
      <c r="J31" s="56">
        <f>55*1.15</f>
        <v>63.249999999999993</v>
      </c>
      <c r="K31" s="56">
        <f>80*1.15</f>
        <v>92</v>
      </c>
      <c r="L31" s="56">
        <f>105*1.15</f>
        <v>120.74999999999999</v>
      </c>
      <c r="M31" s="56">
        <f>125*1.15</f>
        <v>143.75</v>
      </c>
      <c r="N31" s="56">
        <f>225*1.15</f>
        <v>258.75</v>
      </c>
      <c r="O31" s="56">
        <f>450*1.15</f>
        <v>517.5</v>
      </c>
      <c r="P31" s="56">
        <f>500*1.15</f>
        <v>575</v>
      </c>
      <c r="Q31" s="56"/>
      <c r="R31" s="56"/>
      <c r="S31" s="56"/>
      <c r="T31" s="56"/>
    </row>
    <row r="32" spans="1:20" ht="18.75" x14ac:dyDescent="0.25">
      <c r="A32" s="86" t="s">
        <v>88</v>
      </c>
      <c r="B32" s="163">
        <v>6</v>
      </c>
      <c r="C32" s="55"/>
      <c r="D32" s="56"/>
      <c r="E32" s="55">
        <f t="shared" si="18"/>
        <v>26.45</v>
      </c>
      <c r="F32" s="56"/>
      <c r="G32" s="56">
        <f>35*1.15</f>
        <v>40.25</v>
      </c>
      <c r="H32" s="56">
        <f>40*1.15</f>
        <v>46</v>
      </c>
      <c r="I32" s="56">
        <f t="shared" si="19"/>
        <v>57.499999999999993</v>
      </c>
      <c r="J32" s="56">
        <f>55*1.15</f>
        <v>63.249999999999993</v>
      </c>
      <c r="K32" s="56">
        <f t="shared" ref="K32" si="20">80*1.15</f>
        <v>92</v>
      </c>
      <c r="L32" s="56">
        <f>105*1.15</f>
        <v>120.74999999999999</v>
      </c>
      <c r="M32" s="56">
        <f>125*1.15</f>
        <v>143.75</v>
      </c>
      <c r="N32" s="56">
        <f>225*1.15</f>
        <v>258.75</v>
      </c>
      <c r="O32" s="56">
        <f>450*1.15</f>
        <v>517.5</v>
      </c>
      <c r="P32" s="56">
        <f>500*1.15</f>
        <v>575</v>
      </c>
      <c r="Q32" s="56"/>
      <c r="R32" s="56"/>
      <c r="S32" s="56"/>
      <c r="T32" s="56"/>
    </row>
    <row r="33" spans="1:20" ht="18.75" x14ac:dyDescent="0.25">
      <c r="A33" s="86" t="s">
        <v>89</v>
      </c>
      <c r="B33" s="163">
        <v>7</v>
      </c>
      <c r="C33" s="55">
        <f t="shared" ref="C33:E33" si="21">23*1.15</f>
        <v>26.45</v>
      </c>
      <c r="D33" s="55">
        <f t="shared" si="21"/>
        <v>26.45</v>
      </c>
      <c r="E33" s="55">
        <f t="shared" si="21"/>
        <v>26.45</v>
      </c>
      <c r="F33" s="56">
        <f>25*1.15</f>
        <v>28.749999999999996</v>
      </c>
      <c r="G33" s="56">
        <f>25*1.15</f>
        <v>28.749999999999996</v>
      </c>
      <c r="H33" s="56">
        <f>35*1.15</f>
        <v>40.25</v>
      </c>
      <c r="I33" s="56">
        <f t="shared" si="19"/>
        <v>57.499999999999993</v>
      </c>
      <c r="J33" s="56">
        <f>50*1.15</f>
        <v>57.499999999999993</v>
      </c>
      <c r="K33" s="56">
        <f>65*1.15</f>
        <v>74.75</v>
      </c>
      <c r="L33" s="56">
        <f>85*1.15</f>
        <v>97.749999999999986</v>
      </c>
      <c r="M33" s="56">
        <f>110*1.15</f>
        <v>126.49999999999999</v>
      </c>
      <c r="N33" s="56">
        <f>130*1.15</f>
        <v>149.5</v>
      </c>
      <c r="O33" s="56">
        <f>300*1.15</f>
        <v>345</v>
      </c>
      <c r="P33" s="56">
        <f>300*1.15</f>
        <v>345</v>
      </c>
      <c r="Q33" s="56">
        <f>450*1.15</f>
        <v>517.5</v>
      </c>
      <c r="R33" s="56"/>
      <c r="S33" s="56"/>
      <c r="T33" s="56"/>
    </row>
    <row r="34" spans="1:20" ht="18.75" x14ac:dyDescent="0.25">
      <c r="A34" s="86" t="s">
        <v>52</v>
      </c>
      <c r="B34" s="163">
        <v>8</v>
      </c>
      <c r="C34" s="55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</row>
    <row r="37" spans="1:20" x14ac:dyDescent="0.2">
      <c r="A37" s="87"/>
      <c r="B37" s="87"/>
      <c r="C37" s="87"/>
    </row>
    <row r="38" spans="1:20" x14ac:dyDescent="0.2">
      <c r="A38" s="87"/>
      <c r="B38" s="87"/>
      <c r="C38" s="87"/>
    </row>
    <row r="39" spans="1:20" x14ac:dyDescent="0.2">
      <c r="A39" s="87"/>
      <c r="B39" s="87"/>
      <c r="C39" s="87"/>
    </row>
    <row r="40" spans="1:20" x14ac:dyDescent="0.2">
      <c r="A40" s="87"/>
      <c r="B40" s="87"/>
      <c r="C40" s="87"/>
    </row>
    <row r="41" spans="1:20" x14ac:dyDescent="0.2">
      <c r="A41" s="87"/>
      <c r="B41" s="87"/>
      <c r="C41" s="87"/>
    </row>
    <row r="42" spans="1:20" x14ac:dyDescent="0.2">
      <c r="A42" s="87"/>
      <c r="B42" s="87"/>
      <c r="C42" s="87"/>
    </row>
    <row r="43" spans="1:20" x14ac:dyDescent="0.2">
      <c r="A43" s="87"/>
      <c r="B43" s="87"/>
      <c r="C43" s="88"/>
    </row>
    <row r="44" spans="1:20" x14ac:dyDescent="0.2">
      <c r="A44" s="89"/>
      <c r="B44" s="89"/>
      <c r="C44" s="89"/>
    </row>
  </sheetData>
  <mergeCells count="5">
    <mergeCell ref="I1:J2"/>
    <mergeCell ref="X1:AA16"/>
    <mergeCell ref="E2:G2"/>
    <mergeCell ref="A25:Q25"/>
    <mergeCell ref="L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Расчет</vt:lpstr>
      <vt:lpstr>Оценка сетки</vt:lpstr>
      <vt:lpstr>Оценка лазера</vt:lpstr>
      <vt:lpstr>Оценка фрезеровки</vt:lpstr>
      <vt:lpstr>Прайс Лазер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User</cp:lastModifiedBy>
  <dcterms:created xsi:type="dcterms:W3CDTF">2021-03-18T06:19:29Z</dcterms:created>
  <dcterms:modified xsi:type="dcterms:W3CDTF">2024-09-30T09:08:33Z</dcterms:modified>
</cp:coreProperties>
</file>