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92.168.1.72\docs\2. Структура\Инженерный\ПРОЕКТЫ НА РАСЧЕТ\БУЛАТ\БУЛ240501 - сетчатый контейнер разборный\"/>
    </mc:Choice>
  </mc:AlternateContent>
  <bookViews>
    <workbookView xWindow="0" yWindow="0" windowWidth="28800" windowHeight="11775" activeTab="6"/>
  </bookViews>
  <sheets>
    <sheet name="Техданные" sheetId="8" r:id="rId1"/>
    <sheet name="Расчет" sheetId="1" r:id="rId2"/>
    <sheet name="Оценка сетки" sheetId="6" r:id="rId3"/>
    <sheet name="Оценка лазера" sheetId="2" r:id="rId4"/>
    <sheet name="Оценка фрезеровки" sheetId="4" r:id="rId5"/>
    <sheet name="Прайс Лазер" sheetId="5" r:id="rId6"/>
    <sheet name="СПЕЦИФИКАЦИЯ ПРОЕКТА" sheetId="7" r:id="rId7"/>
  </sheets>
  <definedNames>
    <definedName name="_xlnm.Print_Area" localSheetId="6">'СПЕЦИФИКАЦИЯ ПРОЕКТА'!$A$1:$CG$50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29" i="7" l="1"/>
  <c r="E211" i="1" l="1"/>
  <c r="E220" i="1"/>
  <c r="F55" i="1"/>
  <c r="F50" i="1"/>
  <c r="F49" i="1"/>
  <c r="CF40" i="7" l="1"/>
  <c r="CG40" i="7" s="1"/>
  <c r="AD40" i="7"/>
  <c r="AD39" i="7"/>
  <c r="CF38" i="7"/>
  <c r="CG38" i="7" s="1"/>
  <c r="AD38" i="7"/>
  <c r="CF37" i="7"/>
  <c r="CG37" i="7" s="1"/>
  <c r="AD37" i="7"/>
  <c r="CF36" i="7"/>
  <c r="CG36" i="7" s="1"/>
  <c r="AD36" i="7"/>
  <c r="CF35" i="7"/>
  <c r="CG35" i="7" s="1"/>
  <c r="AD35" i="7"/>
  <c r="CF34" i="7"/>
  <c r="CG34" i="7" s="1"/>
  <c r="AD34" i="7"/>
  <c r="CF33" i="7"/>
  <c r="CG33" i="7" s="1"/>
  <c r="AD33" i="7"/>
  <c r="CF32" i="7"/>
  <c r="CG32" i="7" s="1"/>
  <c r="AD32" i="7"/>
  <c r="AD31" i="7"/>
  <c r="CF28" i="7"/>
  <c r="CG28" i="7" s="1"/>
  <c r="AD28" i="7"/>
  <c r="CF27" i="7"/>
  <c r="CG27" i="7" s="1"/>
  <c r="AD27" i="7"/>
  <c r="CF26" i="7"/>
  <c r="CG26" i="7" s="1"/>
  <c r="AD26" i="7"/>
  <c r="CF25" i="7"/>
  <c r="CG25" i="7" s="1"/>
  <c r="AD25" i="7"/>
  <c r="CF24" i="7"/>
  <c r="CG24" i="7" s="1"/>
  <c r="AD24" i="7"/>
  <c r="CF23" i="7"/>
  <c r="CG23" i="7" s="1"/>
  <c r="AD23" i="7"/>
  <c r="AD22" i="7"/>
  <c r="CF21" i="7"/>
  <c r="CG21" i="7" s="1"/>
  <c r="AD21" i="7"/>
  <c r="CF20" i="7"/>
  <c r="CG20" i="7" s="1"/>
  <c r="AD20" i="7"/>
  <c r="CF19" i="7"/>
  <c r="CG19" i="7" s="1"/>
  <c r="AD19" i="7"/>
  <c r="CF18" i="7"/>
  <c r="CG18" i="7" s="1"/>
  <c r="AD18" i="7"/>
  <c r="CF17" i="7"/>
  <c r="CG17" i="7" s="1"/>
  <c r="AD17" i="7"/>
  <c r="CF16" i="7"/>
  <c r="CG16" i="7" s="1"/>
  <c r="AD16" i="7"/>
  <c r="CF15" i="7"/>
  <c r="CG15" i="7" s="1"/>
  <c r="AD15" i="7"/>
  <c r="CF14" i="7"/>
  <c r="CG14" i="7" s="1"/>
  <c r="AD14" i="7"/>
  <c r="CF13" i="7"/>
  <c r="CG13" i="7" s="1"/>
  <c r="AD13" i="7"/>
  <c r="CF12" i="7"/>
  <c r="CG12" i="7" s="1"/>
  <c r="AD12" i="7"/>
  <c r="H40" i="1"/>
  <c r="H39" i="1"/>
  <c r="H38" i="1"/>
  <c r="H37" i="1"/>
  <c r="H36" i="1"/>
  <c r="H35" i="1"/>
  <c r="H34" i="1"/>
  <c r="H33" i="1"/>
  <c r="H32" i="1"/>
  <c r="H31" i="1"/>
  <c r="H30" i="1"/>
  <c r="H29" i="1"/>
  <c r="H28" i="1"/>
  <c r="H27" i="1"/>
  <c r="Q33" i="5" l="1"/>
  <c r="T29" i="5"/>
  <c r="T28" i="5"/>
  <c r="T27" i="5"/>
  <c r="S29" i="5"/>
  <c r="S28" i="5"/>
  <c r="S27" i="5"/>
  <c r="R29" i="5"/>
  <c r="R28" i="5"/>
  <c r="R27" i="5"/>
  <c r="Q30" i="5"/>
  <c r="Q29" i="5"/>
  <c r="Q28" i="5"/>
  <c r="Q27" i="5"/>
  <c r="P33" i="5"/>
  <c r="P32" i="5"/>
  <c r="P31" i="5"/>
  <c r="P30" i="5"/>
  <c r="P29" i="5"/>
  <c r="P28" i="5"/>
  <c r="P27" i="5"/>
  <c r="O33" i="5"/>
  <c r="O32" i="5"/>
  <c r="O31" i="5"/>
  <c r="O30" i="5"/>
  <c r="O29" i="5"/>
  <c r="O28" i="5"/>
  <c r="O27" i="5"/>
  <c r="N33" i="5"/>
  <c r="N32" i="5"/>
  <c r="N31" i="5"/>
  <c r="N30" i="5"/>
  <c r="N29" i="5"/>
  <c r="N28" i="5"/>
  <c r="N27" i="5"/>
  <c r="M33" i="5"/>
  <c r="M32" i="5"/>
  <c r="M31" i="5"/>
  <c r="M30" i="5"/>
  <c r="M29" i="5"/>
  <c r="M28" i="5"/>
  <c r="M27" i="5"/>
  <c r="L33" i="5"/>
  <c r="L32" i="5"/>
  <c r="L31" i="5"/>
  <c r="L30" i="5"/>
  <c r="L29" i="5"/>
  <c r="L28" i="5"/>
  <c r="L27" i="5"/>
  <c r="K33" i="5"/>
  <c r="K32" i="5"/>
  <c r="K31" i="5"/>
  <c r="K30" i="5"/>
  <c r="K29" i="5"/>
  <c r="K28" i="5"/>
  <c r="K27" i="5"/>
  <c r="J32" i="5"/>
  <c r="J31" i="5"/>
  <c r="J29" i="5"/>
  <c r="J28" i="5"/>
  <c r="J27" i="5"/>
  <c r="J33" i="5"/>
  <c r="J30" i="5"/>
  <c r="I33" i="5"/>
  <c r="I32" i="5"/>
  <c r="I31" i="5"/>
  <c r="I30" i="5"/>
  <c r="I28" i="5"/>
  <c r="I29" i="5"/>
  <c r="I27" i="5"/>
  <c r="H33" i="5"/>
  <c r="H32" i="5"/>
  <c r="H31" i="5"/>
  <c r="H30" i="5"/>
  <c r="G33" i="5"/>
  <c r="G32" i="5"/>
  <c r="G31" i="5"/>
  <c r="H29" i="5"/>
  <c r="H28" i="5"/>
  <c r="H27" i="5"/>
  <c r="G30" i="5"/>
  <c r="G29" i="5"/>
  <c r="G28" i="5"/>
  <c r="G27" i="5"/>
  <c r="F33" i="5"/>
  <c r="F30" i="5"/>
  <c r="F29" i="5"/>
  <c r="F28" i="5"/>
  <c r="F27" i="5"/>
  <c r="E29" i="5"/>
  <c r="E28" i="5"/>
  <c r="E27" i="5"/>
  <c r="E32" i="5"/>
  <c r="E31" i="5"/>
  <c r="E30" i="5"/>
  <c r="E33" i="5"/>
  <c r="D33" i="5"/>
  <c r="C33" i="5"/>
  <c r="D30" i="5"/>
  <c r="C30" i="5"/>
  <c r="D27" i="5"/>
  <c r="D29" i="5"/>
  <c r="C29" i="5"/>
  <c r="D28" i="5"/>
  <c r="C28" i="5"/>
  <c r="C27" i="5"/>
  <c r="J21" i="5"/>
  <c r="J20" i="5"/>
  <c r="J19" i="5"/>
  <c r="J18" i="5"/>
  <c r="J17" i="5"/>
  <c r="J16" i="5"/>
  <c r="J15" i="5"/>
  <c r="J14" i="5"/>
  <c r="J13" i="5"/>
  <c r="J12" i="5"/>
  <c r="J11" i="5"/>
  <c r="J10" i="5"/>
  <c r="J9" i="5"/>
  <c r="J8" i="5"/>
  <c r="J7" i="5"/>
  <c r="J6" i="5"/>
  <c r="J5" i="5"/>
  <c r="J4" i="5"/>
  <c r="M403" i="1" l="1"/>
  <c r="M394" i="1"/>
  <c r="M385" i="1"/>
  <c r="M376" i="1"/>
  <c r="M367" i="1"/>
  <c r="M358" i="1"/>
  <c r="M349" i="1"/>
  <c r="M340" i="1"/>
  <c r="M331" i="1"/>
  <c r="M322" i="1"/>
  <c r="M313" i="1"/>
  <c r="M304" i="1"/>
  <c r="M295" i="1"/>
  <c r="M286" i="1"/>
  <c r="M277" i="1"/>
  <c r="M268" i="1"/>
  <c r="M259" i="1"/>
  <c r="M249" i="1"/>
  <c r="M240" i="1"/>
  <c r="M231" i="1"/>
  <c r="M220" i="1"/>
  <c r="M211" i="1"/>
  <c r="M202" i="1"/>
  <c r="M193" i="1"/>
  <c r="M184" i="1"/>
  <c r="M175" i="1"/>
  <c r="M166" i="1"/>
  <c r="M157" i="1"/>
  <c r="M144" i="1"/>
  <c r="M135" i="1"/>
  <c r="M124" i="1"/>
  <c r="M115" i="1"/>
  <c r="J62" i="1" l="1"/>
  <c r="L62" i="1" s="1"/>
  <c r="F124" i="1"/>
  <c r="G124" i="1" s="1"/>
  <c r="H124" i="1"/>
  <c r="F125" i="1"/>
  <c r="H125" i="1"/>
  <c r="F135" i="1"/>
  <c r="G135" i="1" s="1"/>
  <c r="H135" i="1"/>
  <c r="F136" i="1"/>
  <c r="G136" i="1" s="1"/>
  <c r="H136" i="1"/>
  <c r="F144" i="1"/>
  <c r="G144" i="1" s="1"/>
  <c r="H144" i="1"/>
  <c r="F145" i="1"/>
  <c r="H145" i="1"/>
  <c r="F157" i="1"/>
  <c r="G157" i="1" s="1"/>
  <c r="H157" i="1"/>
  <c r="F158" i="1"/>
  <c r="G158" i="1" s="1"/>
  <c r="H158" i="1"/>
  <c r="F166" i="1"/>
  <c r="H166" i="1"/>
  <c r="F167" i="1"/>
  <c r="H167" i="1"/>
  <c r="F175" i="1"/>
  <c r="H175" i="1"/>
  <c r="F176" i="1"/>
  <c r="G176" i="1" s="1"/>
  <c r="H176" i="1"/>
  <c r="F184" i="1"/>
  <c r="G184" i="1" s="1"/>
  <c r="H184" i="1"/>
  <c r="F185" i="1"/>
  <c r="H185" i="1"/>
  <c r="F193" i="1"/>
  <c r="G193" i="1" s="1"/>
  <c r="H193" i="1"/>
  <c r="F194" i="1"/>
  <c r="G194" i="1" s="1"/>
  <c r="H194" i="1"/>
  <c r="F202" i="1"/>
  <c r="H202" i="1"/>
  <c r="F203" i="1"/>
  <c r="H203" i="1"/>
  <c r="F211" i="1"/>
  <c r="G211" i="1" s="1"/>
  <c r="H211" i="1"/>
  <c r="F212" i="1"/>
  <c r="G212" i="1" s="1"/>
  <c r="H212" i="1"/>
  <c r="F220" i="1"/>
  <c r="G220" i="1" s="1"/>
  <c r="H220" i="1"/>
  <c r="F221" i="1"/>
  <c r="H221" i="1"/>
  <c r="F231" i="1"/>
  <c r="H231" i="1"/>
  <c r="F232" i="1"/>
  <c r="G232" i="1" s="1"/>
  <c r="H232" i="1"/>
  <c r="F240" i="1"/>
  <c r="G240" i="1" s="1"/>
  <c r="H240" i="1"/>
  <c r="F241" i="1"/>
  <c r="H241" i="1"/>
  <c r="F249" i="1"/>
  <c r="G249" i="1" s="1"/>
  <c r="H249" i="1"/>
  <c r="F250" i="1"/>
  <c r="G250" i="1" s="1"/>
  <c r="H250" i="1"/>
  <c r="F259" i="1"/>
  <c r="H259" i="1"/>
  <c r="F260" i="1"/>
  <c r="H260" i="1"/>
  <c r="F268" i="1"/>
  <c r="G268" i="1"/>
  <c r="H268" i="1"/>
  <c r="I268" i="1"/>
  <c r="J268" i="1" s="1"/>
  <c r="F269" i="1"/>
  <c r="G269" i="1" s="1"/>
  <c r="H269" i="1"/>
  <c r="F277" i="1"/>
  <c r="G277" i="1" s="1"/>
  <c r="H277" i="1"/>
  <c r="F278" i="1"/>
  <c r="H278" i="1"/>
  <c r="F286" i="1"/>
  <c r="G286" i="1" s="1"/>
  <c r="H286" i="1"/>
  <c r="F287" i="1"/>
  <c r="G287" i="1" s="1"/>
  <c r="H287" i="1"/>
  <c r="F295" i="1"/>
  <c r="G295" i="1" s="1"/>
  <c r="H295" i="1"/>
  <c r="F296" i="1"/>
  <c r="H296" i="1"/>
  <c r="F304" i="1"/>
  <c r="G304" i="1" s="1"/>
  <c r="K305" i="1" s="1"/>
  <c r="H304" i="1"/>
  <c r="F305" i="1"/>
  <c r="G305" i="1" s="1"/>
  <c r="H305" i="1"/>
  <c r="F313" i="1"/>
  <c r="G313" i="1"/>
  <c r="H313" i="1"/>
  <c r="F314" i="1"/>
  <c r="H314" i="1"/>
  <c r="F322" i="1"/>
  <c r="I322" i="1" s="1"/>
  <c r="J322" i="1" s="1"/>
  <c r="H322" i="1"/>
  <c r="F323" i="1"/>
  <c r="G323" i="1" s="1"/>
  <c r="H323" i="1"/>
  <c r="F331" i="1"/>
  <c r="G331" i="1" s="1"/>
  <c r="H331" i="1"/>
  <c r="F332" i="1"/>
  <c r="H332" i="1"/>
  <c r="F340" i="1"/>
  <c r="I340" i="1" s="1"/>
  <c r="J340" i="1" s="1"/>
  <c r="G340" i="1"/>
  <c r="H340" i="1"/>
  <c r="F341" i="1"/>
  <c r="G341" i="1" s="1"/>
  <c r="H341" i="1"/>
  <c r="F349" i="1"/>
  <c r="G349" i="1" s="1"/>
  <c r="H349" i="1"/>
  <c r="F350" i="1"/>
  <c r="H350" i="1"/>
  <c r="F358" i="1"/>
  <c r="G358" i="1" s="1"/>
  <c r="H358" i="1"/>
  <c r="F359" i="1"/>
  <c r="G359" i="1" s="1"/>
  <c r="H359" i="1"/>
  <c r="F367" i="1"/>
  <c r="G367" i="1" s="1"/>
  <c r="H367" i="1"/>
  <c r="F368" i="1"/>
  <c r="H368" i="1"/>
  <c r="F376" i="1"/>
  <c r="H376" i="1"/>
  <c r="F377" i="1"/>
  <c r="G377" i="1" s="1"/>
  <c r="H377" i="1"/>
  <c r="F385" i="1"/>
  <c r="G385" i="1" s="1"/>
  <c r="H385" i="1"/>
  <c r="F386" i="1"/>
  <c r="H386" i="1"/>
  <c r="F394" i="1"/>
  <c r="G394" i="1"/>
  <c r="H394" i="1"/>
  <c r="F395" i="1"/>
  <c r="G395" i="1" s="1"/>
  <c r="H395" i="1"/>
  <c r="F403" i="1"/>
  <c r="I403" i="1" s="1"/>
  <c r="J403" i="1" s="1"/>
  <c r="H403" i="1"/>
  <c r="F404" i="1"/>
  <c r="H404" i="1"/>
  <c r="I231" i="1" l="1"/>
  <c r="J231" i="1" s="1"/>
  <c r="I202" i="1"/>
  <c r="J202" i="1" s="1"/>
  <c r="I166" i="1"/>
  <c r="J166" i="1" s="1"/>
  <c r="G202" i="1"/>
  <c r="K194" i="1"/>
  <c r="K158" i="1"/>
  <c r="I124" i="1"/>
  <c r="J124" i="1" s="1"/>
  <c r="I376" i="1"/>
  <c r="J376" i="1" s="1"/>
  <c r="I313" i="1"/>
  <c r="J313" i="1" s="1"/>
  <c r="I259" i="1"/>
  <c r="J259" i="1" s="1"/>
  <c r="I241" i="1"/>
  <c r="J241" i="1" s="1"/>
  <c r="I349" i="1"/>
  <c r="J349" i="1" s="1"/>
  <c r="I250" i="1"/>
  <c r="I193" i="1"/>
  <c r="J193" i="1" s="1"/>
  <c r="K341" i="1"/>
  <c r="G403" i="1"/>
  <c r="I386" i="1"/>
  <c r="J386" i="1" s="1"/>
  <c r="I269" i="1"/>
  <c r="J269" i="1" s="1"/>
  <c r="I175" i="1"/>
  <c r="J175" i="1" s="1"/>
  <c r="G166" i="1"/>
  <c r="L269" i="1"/>
  <c r="I404" i="1"/>
  <c r="J404" i="1" s="1"/>
  <c r="I394" i="1"/>
  <c r="J394" i="1" s="1"/>
  <c r="I331" i="1"/>
  <c r="J331" i="1" s="1"/>
  <c r="I314" i="1"/>
  <c r="I304" i="1"/>
  <c r="J304" i="1" s="1"/>
  <c r="I249" i="1"/>
  <c r="J249" i="1" s="1"/>
  <c r="I184" i="1"/>
  <c r="J184" i="1" s="1"/>
  <c r="I167" i="1"/>
  <c r="I157" i="1"/>
  <c r="J157" i="1" s="1"/>
  <c r="I277" i="1"/>
  <c r="J277" i="1" s="1"/>
  <c r="L278" i="1" s="1"/>
  <c r="I385" i="1"/>
  <c r="J385" i="1" s="1"/>
  <c r="G376" i="1"/>
  <c r="K377" i="1" s="1"/>
  <c r="I341" i="1"/>
  <c r="J341" i="1" s="1"/>
  <c r="L341" i="1" s="1"/>
  <c r="I323" i="1"/>
  <c r="J323" i="1" s="1"/>
  <c r="L323" i="1" s="1"/>
  <c r="G322" i="1"/>
  <c r="K323" i="1" s="1"/>
  <c r="G259" i="1"/>
  <c r="I240" i="1"/>
  <c r="G231" i="1"/>
  <c r="K232" i="1" s="1"/>
  <c r="I194" i="1"/>
  <c r="J194" i="1" s="1"/>
  <c r="L194" i="1" s="1"/>
  <c r="I176" i="1"/>
  <c r="J176" i="1" s="1"/>
  <c r="G175" i="1"/>
  <c r="K176" i="1" s="1"/>
  <c r="I286" i="1"/>
  <c r="J286" i="1" s="1"/>
  <c r="I260" i="1"/>
  <c r="J260" i="1" s="1"/>
  <c r="I211" i="1"/>
  <c r="J211" i="1" s="1"/>
  <c r="I135" i="1"/>
  <c r="J135" i="1" s="1"/>
  <c r="I295" i="1"/>
  <c r="I220" i="1"/>
  <c r="J220" i="1" s="1"/>
  <c r="I144" i="1"/>
  <c r="J144" i="1" s="1"/>
  <c r="I125" i="1"/>
  <c r="K386" i="1"/>
  <c r="K395" i="1"/>
  <c r="I367" i="1"/>
  <c r="J367" i="1" s="1"/>
  <c r="I358" i="1"/>
  <c r="J358" i="1" s="1"/>
  <c r="I332" i="1"/>
  <c r="J332" i="1" s="1"/>
  <c r="I185" i="1"/>
  <c r="J185" i="1" s="1"/>
  <c r="I359" i="1"/>
  <c r="J359" i="1" s="1"/>
  <c r="I350" i="1"/>
  <c r="J350" i="1" s="1"/>
  <c r="I287" i="1"/>
  <c r="J287" i="1" s="1"/>
  <c r="I278" i="1"/>
  <c r="J278" i="1" s="1"/>
  <c r="I212" i="1"/>
  <c r="J212" i="1" s="1"/>
  <c r="I203" i="1"/>
  <c r="I136" i="1"/>
  <c r="J136" i="1" s="1"/>
  <c r="G404" i="1"/>
  <c r="K404" i="1" s="1"/>
  <c r="I395" i="1"/>
  <c r="G386" i="1"/>
  <c r="I377" i="1"/>
  <c r="J377" i="1" s="1"/>
  <c r="I368" i="1"/>
  <c r="J368" i="1" s="1"/>
  <c r="I305" i="1"/>
  <c r="J305" i="1" s="1"/>
  <c r="I296" i="1"/>
  <c r="J296" i="1" s="1"/>
  <c r="I232" i="1"/>
  <c r="J232" i="1" s="1"/>
  <c r="I221" i="1"/>
  <c r="J221" i="1" s="1"/>
  <c r="I158" i="1"/>
  <c r="J158" i="1" s="1"/>
  <c r="I145" i="1"/>
  <c r="L404" i="1"/>
  <c r="L386" i="1"/>
  <c r="L260" i="1"/>
  <c r="K250" i="1"/>
  <c r="K359" i="1"/>
  <c r="K269" i="1"/>
  <c r="K212" i="1"/>
  <c r="L350" i="1"/>
  <c r="K287" i="1"/>
  <c r="K136" i="1"/>
  <c r="G368" i="1"/>
  <c r="K368" i="1" s="1"/>
  <c r="G350" i="1"/>
  <c r="K350" i="1" s="1"/>
  <c r="G332" i="1"/>
  <c r="K332" i="1" s="1"/>
  <c r="G314" i="1"/>
  <c r="K314" i="1" s="1"/>
  <c r="G296" i="1"/>
  <c r="K296" i="1" s="1"/>
  <c r="G278" i="1"/>
  <c r="K278" i="1" s="1"/>
  <c r="G260" i="1"/>
  <c r="K260" i="1" s="1"/>
  <c r="G241" i="1"/>
  <c r="K241" i="1" s="1"/>
  <c r="G221" i="1"/>
  <c r="K221" i="1" s="1"/>
  <c r="G203" i="1"/>
  <c r="G185" i="1"/>
  <c r="K185" i="1" s="1"/>
  <c r="G167" i="1"/>
  <c r="K167" i="1" s="1"/>
  <c r="G145" i="1"/>
  <c r="K145" i="1" s="1"/>
  <c r="G125" i="1"/>
  <c r="K125" i="1" s="1"/>
  <c r="L250" i="1" l="1"/>
  <c r="K203" i="1"/>
  <c r="L176" i="1"/>
  <c r="J395" i="1"/>
  <c r="L395" i="1" s="1"/>
  <c r="J240" i="1"/>
  <c r="L241" i="1" s="1"/>
  <c r="J295" i="1"/>
  <c r="L296" i="1" s="1"/>
  <c r="J145" i="1"/>
  <c r="L145" i="1" s="1"/>
  <c r="J203" i="1"/>
  <c r="L203" i="1" s="1"/>
  <c r="J125" i="1"/>
  <c r="L125" i="1" s="1"/>
  <c r="J167" i="1"/>
  <c r="L167" i="1" s="1"/>
  <c r="J314" i="1"/>
  <c r="L314" i="1" s="1"/>
  <c r="L232" i="1"/>
  <c r="L377" i="1"/>
  <c r="L332" i="1"/>
  <c r="L287" i="1"/>
  <c r="L158" i="1"/>
  <c r="L305" i="1"/>
  <c r="L185" i="1"/>
  <c r="L359" i="1"/>
  <c r="L136" i="1"/>
  <c r="L368" i="1"/>
  <c r="L212" i="1"/>
  <c r="L221" i="1"/>
  <c r="H116" i="1"/>
  <c r="F116" i="1" l="1"/>
  <c r="I116" i="1" s="1"/>
  <c r="F115" i="1"/>
  <c r="G115" i="1" l="1"/>
  <c r="H52" i="1"/>
  <c r="G57" i="1" l="1"/>
  <c r="G56" i="1"/>
  <c r="G55" i="1"/>
  <c r="G54" i="1"/>
  <c r="G53" i="1"/>
  <c r="G52" i="1"/>
  <c r="G51" i="1"/>
  <c r="G50" i="1"/>
  <c r="G49" i="1"/>
  <c r="H115" i="1" l="1"/>
  <c r="I115" i="1" s="1"/>
  <c r="J115" i="1" s="1"/>
  <c r="F2" i="4" l="1"/>
  <c r="N2" i="4" s="1"/>
  <c r="F3" i="4"/>
  <c r="F4" i="4"/>
  <c r="F5" i="4"/>
  <c r="N5" i="4" s="1"/>
  <c r="F6" i="4"/>
  <c r="F7" i="4"/>
  <c r="F8" i="4"/>
  <c r="F9" i="4"/>
  <c r="N9" i="4" s="1"/>
  <c r="F10" i="4"/>
  <c r="F11" i="4"/>
  <c r="F12" i="4"/>
  <c r="F13" i="4"/>
  <c r="N13" i="4" s="1"/>
  <c r="F14" i="4"/>
  <c r="F15" i="4"/>
  <c r="F16" i="4"/>
  <c r="F17" i="4"/>
  <c r="N17" i="4" s="1"/>
  <c r="F18" i="4"/>
  <c r="F19" i="4"/>
  <c r="F20" i="4"/>
  <c r="F21" i="4"/>
  <c r="N21" i="4" s="1"/>
  <c r="F22" i="4"/>
  <c r="F23" i="4"/>
  <c r="F24" i="4"/>
  <c r="F25" i="4"/>
  <c r="N25" i="4" s="1"/>
  <c r="F26" i="4"/>
  <c r="F27" i="4"/>
  <c r="F28" i="4"/>
  <c r="F29" i="4"/>
  <c r="F30" i="4"/>
  <c r="F31" i="4"/>
  <c r="F32" i="4"/>
  <c r="F33" i="4"/>
  <c r="N33" i="4" s="1"/>
  <c r="F34" i="4"/>
  <c r="F35" i="4"/>
  <c r="F36" i="4"/>
  <c r="F37" i="4"/>
  <c r="N37" i="4" s="1"/>
  <c r="F38" i="4"/>
  <c r="F39" i="4"/>
  <c r="F40" i="4"/>
  <c r="F41" i="4"/>
  <c r="N41" i="4" s="1"/>
  <c r="F42" i="4"/>
  <c r="F43" i="4"/>
  <c r="F44" i="4"/>
  <c r="F45" i="4"/>
  <c r="F46" i="4"/>
  <c r="F47" i="4"/>
  <c r="F48" i="4"/>
  <c r="F49" i="4"/>
  <c r="N49" i="4" s="1"/>
  <c r="F50" i="4"/>
  <c r="F51" i="4"/>
  <c r="N8" i="4"/>
  <c r="N16" i="4"/>
  <c r="N24" i="4"/>
  <c r="N32" i="4"/>
  <c r="N40" i="4"/>
  <c r="N48" i="4"/>
  <c r="N3" i="4"/>
  <c r="N4" i="4"/>
  <c r="N6" i="4"/>
  <c r="N7" i="4"/>
  <c r="N10" i="4"/>
  <c r="N11" i="4"/>
  <c r="N12" i="4"/>
  <c r="N14" i="4"/>
  <c r="N15" i="4"/>
  <c r="N18" i="4"/>
  <c r="N19" i="4"/>
  <c r="N20" i="4"/>
  <c r="N22" i="4"/>
  <c r="N23" i="4"/>
  <c r="N26" i="4"/>
  <c r="N27" i="4"/>
  <c r="N28" i="4"/>
  <c r="N29" i="4"/>
  <c r="N30" i="4"/>
  <c r="N31" i="4"/>
  <c r="N34" i="4"/>
  <c r="N35" i="4"/>
  <c r="N36" i="4"/>
  <c r="N38" i="4"/>
  <c r="N39" i="4"/>
  <c r="N42" i="4"/>
  <c r="N43" i="4"/>
  <c r="N44" i="4"/>
  <c r="N45" i="4"/>
  <c r="N46" i="4"/>
  <c r="N47" i="4"/>
  <c r="N50" i="4"/>
  <c r="N51" i="4"/>
  <c r="H48" i="1" l="1"/>
  <c r="B19" i="6"/>
  <c r="K43" i="6" l="1"/>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R18" i="2" l="1"/>
  <c r="S18" i="2"/>
  <c r="Q18" i="2"/>
  <c r="R17" i="2"/>
  <c r="S17" i="2"/>
  <c r="Q17" i="2"/>
  <c r="R16" i="2"/>
  <c r="Q16" i="2"/>
  <c r="R15" i="2"/>
  <c r="S15" i="2"/>
  <c r="Q15" i="2"/>
  <c r="R14" i="2"/>
  <c r="S14" i="2"/>
  <c r="Q14" i="2"/>
  <c r="R13" i="2"/>
  <c r="Q13" i="2"/>
  <c r="R12" i="2"/>
  <c r="Q12" i="2"/>
  <c r="R11" i="2"/>
  <c r="Q11" i="2"/>
  <c r="R10" i="2"/>
  <c r="Q10" i="2"/>
  <c r="R9" i="2"/>
  <c r="Q9" i="2"/>
  <c r="R8" i="2"/>
  <c r="Q8" i="2"/>
  <c r="R7" i="2"/>
  <c r="Q7" i="2"/>
  <c r="R6" i="2"/>
  <c r="Q6" i="2"/>
  <c r="R5" i="2"/>
  <c r="Q5" i="2"/>
  <c r="R4" i="2"/>
  <c r="Q4" i="2"/>
  <c r="R3" i="2"/>
  <c r="Q3" i="2"/>
  <c r="A4" i="2"/>
  <c r="A5" i="2" s="1"/>
  <c r="A6" i="2" s="1"/>
  <c r="A7" i="2" s="1"/>
  <c r="A8" i="2" s="1"/>
  <c r="A9" i="2" s="1"/>
  <c r="A10" i="2" s="1"/>
  <c r="A11" i="2" s="1"/>
  <c r="A12" i="2" s="1"/>
  <c r="A13" i="2" s="1"/>
  <c r="A14" i="2" s="1"/>
  <c r="A15" i="2" s="1"/>
  <c r="A16" i="2" s="1"/>
  <c r="A17" i="2" s="1"/>
  <c r="A18" i="2" s="1"/>
  <c r="S6" i="2" l="1"/>
  <c r="T6" i="2" s="1"/>
  <c r="U6" i="2" s="1"/>
  <c r="V6" i="2" s="1"/>
  <c r="S5" i="2"/>
  <c r="T5" i="2" s="1"/>
  <c r="U5" i="2" s="1"/>
  <c r="V5" i="2" s="1"/>
  <c r="S8" i="2"/>
  <c r="T8" i="2" s="1"/>
  <c r="U8" i="2" s="1"/>
  <c r="V8" i="2" s="1"/>
  <c r="T14" i="2"/>
  <c r="U14" i="2" s="1"/>
  <c r="V14" i="2" s="1"/>
  <c r="S10" i="2"/>
  <c r="T10" i="2" s="1"/>
  <c r="U10" i="2" s="1"/>
  <c r="V10" i="2" s="1"/>
  <c r="S7" i="2"/>
  <c r="T7" i="2" s="1"/>
  <c r="U7" i="2" s="1"/>
  <c r="V7" i="2" s="1"/>
  <c r="S13" i="2"/>
  <c r="T13" i="2" s="1"/>
  <c r="U13" i="2" s="1"/>
  <c r="V13" i="2" s="1"/>
  <c r="T15" i="2"/>
  <c r="U15" i="2" s="1"/>
  <c r="V15" i="2" s="1"/>
  <c r="S4" i="2"/>
  <c r="T4" i="2" s="1"/>
  <c r="U4" i="2" s="1"/>
  <c r="V4" i="2" s="1"/>
  <c r="S9" i="2"/>
  <c r="T9" i="2" s="1"/>
  <c r="U9" i="2" s="1"/>
  <c r="V9" i="2" s="1"/>
  <c r="S11" i="2"/>
  <c r="T11" i="2" s="1"/>
  <c r="U11" i="2" s="1"/>
  <c r="V11" i="2" s="1"/>
  <c r="S16" i="2"/>
  <c r="T16" i="2" s="1"/>
  <c r="U16" i="2" s="1"/>
  <c r="V16" i="2" s="1"/>
  <c r="T18" i="2"/>
  <c r="U18" i="2" s="1"/>
  <c r="V18" i="2" s="1"/>
  <c r="S3" i="2"/>
  <c r="T3" i="2" s="1"/>
  <c r="U3" i="2" s="1"/>
  <c r="V3" i="2" s="1"/>
  <c r="S12" i="2"/>
  <c r="T12" i="2" s="1"/>
  <c r="U12" i="2" s="1"/>
  <c r="V12" i="2" s="1"/>
  <c r="T17" i="2"/>
  <c r="U17" i="2" s="1"/>
  <c r="V17" i="2" s="1"/>
  <c r="D19" i="6"/>
  <c r="D14" i="6"/>
  <c r="F14" i="6" s="1"/>
  <c r="F9" i="6"/>
  <c r="J9" i="6" s="1"/>
  <c r="G19" i="6" l="1"/>
  <c r="I19" i="6" s="1"/>
  <c r="O3" i="1"/>
  <c r="N3" i="1"/>
  <c r="F107" i="1"/>
  <c r="F94" i="1"/>
  <c r="N10" i="1" s="1"/>
  <c r="B107" i="1"/>
  <c r="F89" i="1"/>
  <c r="N9" i="1" s="1"/>
  <c r="F69" i="1" l="1"/>
  <c r="N5" i="1" s="1"/>
  <c r="F72" i="1"/>
  <c r="N6" i="1" s="1"/>
  <c r="F81" i="1"/>
  <c r="N8" i="1" s="1"/>
  <c r="F75" i="1"/>
  <c r="N7" i="1" s="1"/>
  <c r="B94" i="1"/>
  <c r="M10" i="1" s="1"/>
  <c r="B89" i="1"/>
  <c r="M9" i="1" s="1"/>
  <c r="B81" i="1" l="1"/>
  <c r="M8" i="1" s="1"/>
  <c r="B75" i="1"/>
  <c r="M7" i="1" s="1"/>
  <c r="B72" i="1"/>
  <c r="M6" i="1" s="1"/>
  <c r="B69" i="1"/>
  <c r="M5" i="1" s="1"/>
  <c r="J116" i="1" l="1"/>
  <c r="G116" i="1"/>
  <c r="K116" i="1" s="1"/>
  <c r="L116" i="1" l="1"/>
  <c r="H59" i="1" l="1"/>
  <c r="K145" i="6" l="1"/>
  <c r="K111" i="6"/>
  <c r="K94" i="6"/>
  <c r="K77" i="6"/>
  <c r="K60" i="6"/>
  <c r="K26" i="6"/>
  <c r="J158" i="6" l="1"/>
  <c r="D2" i="7"/>
  <c r="F10" i="7" l="1"/>
  <c r="CF11" i="7"/>
  <c r="CG11" i="7" s="1"/>
  <c r="AD11" i="7"/>
  <c r="AD10" i="7"/>
  <c r="AE9" i="7"/>
  <c r="AE11" i="7" l="1"/>
  <c r="AE29" i="7"/>
  <c r="AE36" i="7"/>
  <c r="AE40" i="7"/>
  <c r="AE37" i="7"/>
  <c r="AE38" i="7"/>
  <c r="AE39" i="7"/>
  <c r="AE35" i="7"/>
  <c r="AE34" i="7"/>
  <c r="AE31" i="7"/>
  <c r="AE32" i="7"/>
  <c r="AE27" i="7"/>
  <c r="AE28" i="7"/>
  <c r="AE25" i="7"/>
  <c r="AE26" i="7"/>
  <c r="AE33" i="7"/>
  <c r="AE19" i="7"/>
  <c r="AE15" i="7"/>
  <c r="AE23" i="7"/>
  <c r="AE20" i="7"/>
  <c r="AE16" i="7"/>
  <c r="AE21" i="7"/>
  <c r="AE17" i="7"/>
  <c r="AE13" i="7"/>
  <c r="AE24" i="7"/>
  <c r="AE14" i="7"/>
  <c r="AE12" i="7"/>
  <c r="AE18" i="7"/>
  <c r="AE22" i="7"/>
  <c r="G40" i="7"/>
  <c r="G30" i="7"/>
  <c r="G38" i="7"/>
  <c r="G37" i="7"/>
  <c r="G36" i="7"/>
  <c r="G35" i="7"/>
  <c r="G34" i="7"/>
  <c r="G33" i="7"/>
  <c r="G32" i="7"/>
  <c r="G28" i="7"/>
  <c r="G27" i="7"/>
  <c r="G26" i="7"/>
  <c r="G25" i="7"/>
  <c r="G24" i="7"/>
  <c r="G23" i="7"/>
  <c r="G21" i="7"/>
  <c r="G20" i="7"/>
  <c r="G19" i="7"/>
  <c r="G18" i="7"/>
  <c r="G17" i="7"/>
  <c r="G16" i="7"/>
  <c r="G15" i="7"/>
  <c r="G14" i="7"/>
  <c r="G13" i="7"/>
  <c r="G12" i="7"/>
  <c r="G11" i="7"/>
  <c r="AF9" i="7"/>
  <c r="AE10" i="7"/>
  <c r="AF29" i="7" l="1"/>
  <c r="AF40" i="7"/>
  <c r="AF37" i="7"/>
  <c r="AF38" i="7"/>
  <c r="AF39" i="7"/>
  <c r="AF36" i="7"/>
  <c r="AF32" i="7"/>
  <c r="AF35" i="7"/>
  <c r="AF33" i="7"/>
  <c r="AF28" i="7"/>
  <c r="AF27" i="7"/>
  <c r="AF26" i="7"/>
  <c r="AF34" i="7"/>
  <c r="AF23" i="7"/>
  <c r="AF20" i="7"/>
  <c r="AF16" i="7"/>
  <c r="AF31" i="7"/>
  <c r="AF25" i="7"/>
  <c r="AF21" i="7"/>
  <c r="AF17" i="7"/>
  <c r="AF24" i="7"/>
  <c r="AF22" i="7"/>
  <c r="AF18" i="7"/>
  <c r="AF14" i="7"/>
  <c r="AF15" i="7"/>
  <c r="AF13" i="7"/>
  <c r="AF12" i="7"/>
  <c r="AF19" i="7"/>
  <c r="AG9" i="7"/>
  <c r="AF10" i="7"/>
  <c r="AF11" i="7"/>
  <c r="AG11" i="7"/>
  <c r="G107" i="1"/>
  <c r="AG29" i="7" l="1"/>
  <c r="AG38" i="7"/>
  <c r="AG39" i="7"/>
  <c r="AG35" i="7"/>
  <c r="AG40" i="7"/>
  <c r="AG37" i="7"/>
  <c r="AG32" i="7"/>
  <c r="AG27" i="7"/>
  <c r="AG33" i="7"/>
  <c r="AG34" i="7"/>
  <c r="AG31" i="7"/>
  <c r="AG36" i="7"/>
  <c r="AG23" i="7"/>
  <c r="AG25" i="7"/>
  <c r="AG21" i="7"/>
  <c r="AG17" i="7"/>
  <c r="AG13" i="7"/>
  <c r="AG24" i="7"/>
  <c r="AG22" i="7"/>
  <c r="AG18" i="7"/>
  <c r="AG28" i="7"/>
  <c r="AG26" i="7"/>
  <c r="AG19" i="7"/>
  <c r="AG15" i="7"/>
  <c r="AG20" i="7"/>
  <c r="AG14" i="7"/>
  <c r="AG12" i="7"/>
  <c r="AG16" i="7"/>
  <c r="AH9" i="7"/>
  <c r="AG10" i="7"/>
  <c r="AH29" i="7" l="1"/>
  <c r="AH39" i="7"/>
  <c r="AH35" i="7"/>
  <c r="AH36" i="7"/>
  <c r="AH40" i="7"/>
  <c r="AH37" i="7"/>
  <c r="AH38" i="7"/>
  <c r="AH33" i="7"/>
  <c r="AH28" i="7"/>
  <c r="AH34" i="7"/>
  <c r="AH31" i="7"/>
  <c r="AH24" i="7"/>
  <c r="AH32" i="7"/>
  <c r="AH25" i="7"/>
  <c r="AH26" i="7"/>
  <c r="AH22" i="7"/>
  <c r="AH18" i="7"/>
  <c r="AH14" i="7"/>
  <c r="AH19" i="7"/>
  <c r="AH15" i="7"/>
  <c r="AH20" i="7"/>
  <c r="AH16" i="7"/>
  <c r="AH23" i="7"/>
  <c r="AH13" i="7"/>
  <c r="AH21" i="7"/>
  <c r="AH12" i="7"/>
  <c r="AH27" i="7"/>
  <c r="AH17" i="7"/>
  <c r="AH10" i="7"/>
  <c r="AH11" i="7"/>
  <c r="AI9" i="7"/>
  <c r="D150" i="6"/>
  <c r="F150" i="6" s="1"/>
  <c r="D133" i="6"/>
  <c r="F133" i="6" s="1"/>
  <c r="D116" i="6"/>
  <c r="F116" i="6" s="1"/>
  <c r="D99" i="6"/>
  <c r="F99" i="6" s="1"/>
  <c r="D82" i="6"/>
  <c r="F82" i="6" s="1"/>
  <c r="D65" i="6"/>
  <c r="F65" i="6" s="1"/>
  <c r="D48" i="6"/>
  <c r="F48" i="6" s="1"/>
  <c r="D31" i="6"/>
  <c r="F31" i="6" s="1"/>
  <c r="AI29" i="7" l="1"/>
  <c r="AI36" i="7"/>
  <c r="AI40" i="7"/>
  <c r="AI37" i="7"/>
  <c r="AI38" i="7"/>
  <c r="AI39" i="7"/>
  <c r="AI35" i="7"/>
  <c r="AI34" i="7"/>
  <c r="AI31" i="7"/>
  <c r="AI32" i="7"/>
  <c r="AI27" i="7"/>
  <c r="AI25" i="7"/>
  <c r="AI33" i="7"/>
  <c r="AI26" i="7"/>
  <c r="AI28" i="7"/>
  <c r="AI24" i="7"/>
  <c r="AI19" i="7"/>
  <c r="AI15" i="7"/>
  <c r="AI20" i="7"/>
  <c r="AI16" i="7"/>
  <c r="AI23" i="7"/>
  <c r="AI21" i="7"/>
  <c r="AI17" i="7"/>
  <c r="AI13" i="7"/>
  <c r="AI22" i="7"/>
  <c r="AI12" i="7"/>
  <c r="AI18" i="7"/>
  <c r="AI14" i="7"/>
  <c r="AI10" i="7"/>
  <c r="AJ9" i="7"/>
  <c r="AI11" i="7"/>
  <c r="AJ11" i="7"/>
  <c r="L38" i="4"/>
  <c r="L2" i="4"/>
  <c r="AJ29" i="7" l="1"/>
  <c r="AJ40" i="7"/>
  <c r="AJ37" i="7"/>
  <c r="AJ38" i="7"/>
  <c r="AJ39" i="7"/>
  <c r="AJ36" i="7"/>
  <c r="AJ35" i="7"/>
  <c r="AJ32" i="7"/>
  <c r="AJ33" i="7"/>
  <c r="AJ28" i="7"/>
  <c r="AJ26" i="7"/>
  <c r="AJ34" i="7"/>
  <c r="AJ31" i="7"/>
  <c r="AJ27" i="7"/>
  <c r="AJ25" i="7"/>
  <c r="AJ20" i="7"/>
  <c r="AJ16" i="7"/>
  <c r="AJ23" i="7"/>
  <c r="AJ21" i="7"/>
  <c r="AJ17" i="7"/>
  <c r="AJ22" i="7"/>
  <c r="AJ18" i="7"/>
  <c r="AJ14" i="7"/>
  <c r="AJ12" i="7"/>
  <c r="AJ24" i="7"/>
  <c r="AJ13" i="7"/>
  <c r="AJ19" i="7"/>
  <c r="AJ15" i="7"/>
  <c r="AJ10" i="7"/>
  <c r="AK9" i="7"/>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9" i="4"/>
  <c r="L40" i="4"/>
  <c r="L41" i="4"/>
  <c r="L42" i="4"/>
  <c r="L43" i="4"/>
  <c r="L44" i="4"/>
  <c r="L45" i="4"/>
  <c r="L46" i="4"/>
  <c r="L47" i="4"/>
  <c r="L48" i="4"/>
  <c r="L49" i="4"/>
  <c r="L50" i="4"/>
  <c r="L51" i="4"/>
  <c r="AK29" i="7" l="1"/>
  <c r="AK38" i="7"/>
  <c r="AK39" i="7"/>
  <c r="AK35" i="7"/>
  <c r="AK40" i="7"/>
  <c r="AK37" i="7"/>
  <c r="AK32" i="7"/>
  <c r="AK27" i="7"/>
  <c r="AK33" i="7"/>
  <c r="AK36" i="7"/>
  <c r="AK34" i="7"/>
  <c r="AK31" i="7"/>
  <c r="AK23" i="7"/>
  <c r="AK28" i="7"/>
  <c r="AK25" i="7"/>
  <c r="AK21" i="7"/>
  <c r="AK17" i="7"/>
  <c r="AK13" i="7"/>
  <c r="AK26" i="7"/>
  <c r="AK22" i="7"/>
  <c r="AK18" i="7"/>
  <c r="AK14" i="7"/>
  <c r="AK24" i="7"/>
  <c r="AK19" i="7"/>
  <c r="AK15" i="7"/>
  <c r="AK16" i="7"/>
  <c r="AK12" i="7"/>
  <c r="AK20" i="7"/>
  <c r="AK10" i="7"/>
  <c r="AL9" i="7"/>
  <c r="AK11" i="7"/>
  <c r="AL11" i="7"/>
  <c r="B155" i="6"/>
  <c r="D155" i="6" s="1"/>
  <c r="F145" i="6"/>
  <c r="B138" i="6"/>
  <c r="D138" i="6" s="1"/>
  <c r="F128" i="6"/>
  <c r="B121" i="6"/>
  <c r="D121" i="6" s="1"/>
  <c r="F111" i="6"/>
  <c r="B104" i="6"/>
  <c r="D104" i="6" s="1"/>
  <c r="F94" i="6"/>
  <c r="B87" i="6"/>
  <c r="D87" i="6" s="1"/>
  <c r="F77" i="6"/>
  <c r="B70" i="6"/>
  <c r="D70" i="6" s="1"/>
  <c r="F60" i="6"/>
  <c r="B53" i="6"/>
  <c r="D53" i="6" s="1"/>
  <c r="F43" i="6"/>
  <c r="J43" i="6" s="1"/>
  <c r="B36" i="6"/>
  <c r="D36" i="6" s="1"/>
  <c r="F26" i="6"/>
  <c r="J26" i="6" s="1"/>
  <c r="AL29" i="7" l="1"/>
  <c r="AL39" i="7"/>
  <c r="AL35" i="7"/>
  <c r="AL36" i="7"/>
  <c r="AL40" i="7"/>
  <c r="AL37" i="7"/>
  <c r="AL38" i="7"/>
  <c r="AL33" i="7"/>
  <c r="AL28" i="7"/>
  <c r="AL34" i="7"/>
  <c r="AL31" i="7"/>
  <c r="AL32" i="7"/>
  <c r="AL24" i="7"/>
  <c r="AL27" i="7"/>
  <c r="AL25" i="7"/>
  <c r="AL26" i="7"/>
  <c r="AL23" i="7"/>
  <c r="AL22" i="7"/>
  <c r="AL18" i="7"/>
  <c r="AL14" i="7"/>
  <c r="AL19" i="7"/>
  <c r="AL15" i="7"/>
  <c r="AL20" i="7"/>
  <c r="AL16" i="7"/>
  <c r="AL21" i="7"/>
  <c r="AL13" i="7"/>
  <c r="AL17" i="7"/>
  <c r="AL12" i="7"/>
  <c r="AM9" i="7"/>
  <c r="AL10" i="7"/>
  <c r="AM10" i="7"/>
  <c r="AM11" i="7"/>
  <c r="AN9" i="7"/>
  <c r="G36" i="6"/>
  <c r="I36" i="6" s="1"/>
  <c r="G155" i="6"/>
  <c r="I155" i="6" s="1"/>
  <c r="G138" i="6"/>
  <c r="I138" i="6" s="1"/>
  <c r="G121" i="6"/>
  <c r="I121" i="6" s="1"/>
  <c r="G104" i="6"/>
  <c r="I104" i="6" s="1"/>
  <c r="G87" i="6"/>
  <c r="I87" i="6" s="1"/>
  <c r="G70" i="6"/>
  <c r="I70" i="6" s="1"/>
  <c r="G53" i="6"/>
  <c r="I53" i="6" s="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2" i="4"/>
  <c r="AN29" i="7" l="1"/>
  <c r="AN40" i="7"/>
  <c r="AN37" i="7"/>
  <c r="AN38" i="7"/>
  <c r="AN39" i="7"/>
  <c r="AN36" i="7"/>
  <c r="AN35" i="7"/>
  <c r="AN32" i="7"/>
  <c r="AN33" i="7"/>
  <c r="AN28" i="7"/>
  <c r="AN34" i="7"/>
  <c r="AN27" i="7"/>
  <c r="AN26" i="7"/>
  <c r="AN31" i="7"/>
  <c r="AN24" i="7"/>
  <c r="AN20" i="7"/>
  <c r="AN16" i="7"/>
  <c r="AN21" i="7"/>
  <c r="AN17" i="7"/>
  <c r="AN23" i="7"/>
  <c r="AN22" i="7"/>
  <c r="AN18" i="7"/>
  <c r="AN14" i="7"/>
  <c r="AN25" i="7"/>
  <c r="AN13" i="7"/>
  <c r="AN19" i="7"/>
  <c r="AN12" i="7"/>
  <c r="AN15" i="7"/>
  <c r="AM29" i="7"/>
  <c r="AM36" i="7"/>
  <c r="AM40" i="7"/>
  <c r="AM37" i="7"/>
  <c r="AM38" i="7"/>
  <c r="AM39" i="7"/>
  <c r="AM35" i="7"/>
  <c r="AM34" i="7"/>
  <c r="AM31" i="7"/>
  <c r="AM32" i="7"/>
  <c r="AM27" i="7"/>
  <c r="AM33" i="7"/>
  <c r="AM28" i="7"/>
  <c r="AM25" i="7"/>
  <c r="AM26" i="7"/>
  <c r="AM19" i="7"/>
  <c r="AM15" i="7"/>
  <c r="AM24" i="7"/>
  <c r="AM20" i="7"/>
  <c r="AM16" i="7"/>
  <c r="AM21" i="7"/>
  <c r="AM17" i="7"/>
  <c r="AM13" i="7"/>
  <c r="AM22" i="7"/>
  <c r="AM12" i="7"/>
  <c r="AM23" i="7"/>
  <c r="AM18" i="7"/>
  <c r="AM14" i="7"/>
  <c r="AN10" i="7"/>
  <c r="AN11" i="7"/>
  <c r="AO9" i="7"/>
  <c r="N52" i="4"/>
  <c r="AO29" i="7" l="1"/>
  <c r="AO38" i="7"/>
  <c r="AO39" i="7"/>
  <c r="AO35" i="7"/>
  <c r="AO40" i="7"/>
  <c r="AO37" i="7"/>
  <c r="AO32" i="7"/>
  <c r="AO27" i="7"/>
  <c r="AO36" i="7"/>
  <c r="AO33" i="7"/>
  <c r="AO34" i="7"/>
  <c r="AO31" i="7"/>
  <c r="AO23" i="7"/>
  <c r="AO25" i="7"/>
  <c r="AO26" i="7"/>
  <c r="AO21" i="7"/>
  <c r="AO17" i="7"/>
  <c r="AO13" i="7"/>
  <c r="AO28" i="7"/>
  <c r="AO22" i="7"/>
  <c r="AO18" i="7"/>
  <c r="AO14" i="7"/>
  <c r="AO19" i="7"/>
  <c r="AO15" i="7"/>
  <c r="AO12" i="7"/>
  <c r="AO24" i="7"/>
  <c r="AO20" i="7"/>
  <c r="AO16" i="7"/>
  <c r="AO10" i="7"/>
  <c r="AO11" i="7"/>
  <c r="AP9" i="7"/>
  <c r="A19" i="2"/>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P29" i="7" l="1"/>
  <c r="AP39" i="7"/>
  <c r="AP35" i="7"/>
  <c r="AP36" i="7"/>
  <c r="AP40" i="7"/>
  <c r="AP37" i="7"/>
  <c r="AP38" i="7"/>
  <c r="AP33" i="7"/>
  <c r="AP28" i="7"/>
  <c r="AP34" i="7"/>
  <c r="AP31" i="7"/>
  <c r="AP24" i="7"/>
  <c r="AP25" i="7"/>
  <c r="AP26" i="7"/>
  <c r="AP32" i="7"/>
  <c r="AP22" i="7"/>
  <c r="AP18" i="7"/>
  <c r="AP14" i="7"/>
  <c r="AP23" i="7"/>
  <c r="AP19" i="7"/>
  <c r="AP15" i="7"/>
  <c r="AP27" i="7"/>
  <c r="AP20" i="7"/>
  <c r="AP16" i="7"/>
  <c r="AP17" i="7"/>
  <c r="AP13" i="7"/>
  <c r="AP21" i="7"/>
  <c r="AP12" i="7"/>
  <c r="AP11" i="7"/>
  <c r="AQ9" i="7"/>
  <c r="AP10" i="7"/>
  <c r="L52" i="4"/>
  <c r="H26" i="1" s="1"/>
  <c r="M52" i="4"/>
  <c r="AQ29" i="7" l="1"/>
  <c r="AQ36" i="7"/>
  <c r="AQ40" i="7"/>
  <c r="AQ37" i="7"/>
  <c r="AQ38" i="7"/>
  <c r="AQ39" i="7"/>
  <c r="AQ35" i="7"/>
  <c r="AQ34" i="7"/>
  <c r="AQ31" i="7"/>
  <c r="AQ32" i="7"/>
  <c r="AQ27" i="7"/>
  <c r="AQ25" i="7"/>
  <c r="AQ26" i="7"/>
  <c r="AQ28" i="7"/>
  <c r="AQ23" i="7"/>
  <c r="AQ19" i="7"/>
  <c r="AQ15" i="7"/>
  <c r="AQ20" i="7"/>
  <c r="AQ16" i="7"/>
  <c r="AQ24" i="7"/>
  <c r="AQ21" i="7"/>
  <c r="AQ17" i="7"/>
  <c r="AQ13" i="7"/>
  <c r="AQ18" i="7"/>
  <c r="AQ22" i="7"/>
  <c r="AQ14" i="7"/>
  <c r="AQ12" i="7"/>
  <c r="AQ33" i="7"/>
  <c r="AQ10" i="7"/>
  <c r="AR9" i="7"/>
  <c r="AQ11" i="7"/>
  <c r="AR29" i="7" l="1"/>
  <c r="AR40" i="7"/>
  <c r="AR37" i="7"/>
  <c r="AR38" i="7"/>
  <c r="AR39" i="7"/>
  <c r="AR36" i="7"/>
  <c r="AR32" i="7"/>
  <c r="AR33" i="7"/>
  <c r="AR28" i="7"/>
  <c r="AR31" i="7"/>
  <c r="AR26" i="7"/>
  <c r="AR35" i="7"/>
  <c r="AR27" i="7"/>
  <c r="AR20" i="7"/>
  <c r="AR16" i="7"/>
  <c r="AR24" i="7"/>
  <c r="AR21" i="7"/>
  <c r="AR17" i="7"/>
  <c r="AR34" i="7"/>
  <c r="AR25" i="7"/>
  <c r="AR22" i="7"/>
  <c r="AR18" i="7"/>
  <c r="AR14" i="7"/>
  <c r="AR19" i="7"/>
  <c r="AR12" i="7"/>
  <c r="AR15" i="7"/>
  <c r="AR23" i="7"/>
  <c r="AR13" i="7"/>
  <c r="AR10" i="7"/>
  <c r="AR11" i="7"/>
  <c r="AS9" i="7"/>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S21" i="2"/>
  <c r="S25" i="2"/>
  <c r="S29" i="2"/>
  <c r="S33" i="2"/>
  <c r="S37" i="2"/>
  <c r="S41" i="2"/>
  <c r="S45" i="2"/>
  <c r="S49" i="2"/>
  <c r="S53" i="2"/>
  <c r="S57" i="2"/>
  <c r="S61" i="2"/>
  <c r="S65" i="2"/>
  <c r="S69" i="2"/>
  <c r="S73" i="2"/>
  <c r="S77" i="2"/>
  <c r="S81" i="2"/>
  <c r="S85" i="2"/>
  <c r="S89" i="2"/>
  <c r="S93" i="2"/>
  <c r="S97" i="2"/>
  <c r="S101" i="2"/>
  <c r="S105" i="2"/>
  <c r="S109" i="2"/>
  <c r="S113" i="2"/>
  <c r="S117" i="2"/>
  <c r="S121" i="2"/>
  <c r="S125" i="2"/>
  <c r="S129" i="2"/>
  <c r="S133" i="2"/>
  <c r="S137" i="2"/>
  <c r="S141" i="2"/>
  <c r="S145" i="2"/>
  <c r="S149" i="2"/>
  <c r="S153" i="2"/>
  <c r="S157" i="2"/>
  <c r="S161" i="2"/>
  <c r="S165" i="2"/>
  <c r="S169" i="2"/>
  <c r="S173" i="2"/>
  <c r="S177" i="2"/>
  <c r="S181" i="2"/>
  <c r="S185" i="2"/>
  <c r="S189" i="2"/>
  <c r="S193" i="2"/>
  <c r="S197" i="2"/>
  <c r="S201" i="2"/>
  <c r="S205" i="2"/>
  <c r="S209" i="2"/>
  <c r="S213" i="2"/>
  <c r="S217" i="2"/>
  <c r="S221" i="2"/>
  <c r="S225" i="2"/>
  <c r="S229" i="2"/>
  <c r="S233" i="2"/>
  <c r="S237"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AS29" i="7" l="1"/>
  <c r="AS38" i="7"/>
  <c r="AS39" i="7"/>
  <c r="AS35" i="7"/>
  <c r="AS40" i="7"/>
  <c r="AS37" i="7"/>
  <c r="AS36" i="7"/>
  <c r="AS32" i="7"/>
  <c r="AS27" i="7"/>
  <c r="AS33" i="7"/>
  <c r="AS34" i="7"/>
  <c r="AS31" i="7"/>
  <c r="AS23" i="7"/>
  <c r="AS28" i="7"/>
  <c r="AS25" i="7"/>
  <c r="AS24" i="7"/>
  <c r="AS21" i="7"/>
  <c r="AS17" i="7"/>
  <c r="AS13" i="7"/>
  <c r="AS22" i="7"/>
  <c r="AS18" i="7"/>
  <c r="AS14" i="7"/>
  <c r="AS19" i="7"/>
  <c r="AS15" i="7"/>
  <c r="AS12" i="7"/>
  <c r="AS26" i="7"/>
  <c r="AS20" i="7"/>
  <c r="AS16" i="7"/>
  <c r="S234" i="2"/>
  <c r="S230" i="2"/>
  <c r="T230" i="2" s="1"/>
  <c r="U230" i="2" s="1"/>
  <c r="V230" i="2" s="1"/>
  <c r="S226" i="2"/>
  <c r="T226" i="2" s="1"/>
  <c r="U226" i="2" s="1"/>
  <c r="V226" i="2" s="1"/>
  <c r="S222" i="2"/>
  <c r="T222" i="2" s="1"/>
  <c r="U222" i="2" s="1"/>
  <c r="V222" i="2" s="1"/>
  <c r="S218" i="2"/>
  <c r="S214" i="2"/>
  <c r="T214" i="2" s="1"/>
  <c r="U214" i="2" s="1"/>
  <c r="V214" i="2" s="1"/>
  <c r="S210" i="2"/>
  <c r="T210" i="2" s="1"/>
  <c r="U210" i="2" s="1"/>
  <c r="V210" i="2" s="1"/>
  <c r="S206" i="2"/>
  <c r="T206" i="2" s="1"/>
  <c r="U206" i="2" s="1"/>
  <c r="V206" i="2" s="1"/>
  <c r="S202" i="2"/>
  <c r="T202" i="2" s="1"/>
  <c r="U202" i="2" s="1"/>
  <c r="V202" i="2" s="1"/>
  <c r="S198" i="2"/>
  <c r="T198" i="2" s="1"/>
  <c r="U198" i="2" s="1"/>
  <c r="V198" i="2" s="1"/>
  <c r="S194" i="2"/>
  <c r="T194" i="2" s="1"/>
  <c r="U194" i="2" s="1"/>
  <c r="V194" i="2" s="1"/>
  <c r="S190" i="2"/>
  <c r="T190" i="2" s="1"/>
  <c r="U190" i="2" s="1"/>
  <c r="V190" i="2" s="1"/>
  <c r="S186" i="2"/>
  <c r="T186" i="2" s="1"/>
  <c r="U186" i="2" s="1"/>
  <c r="V186" i="2" s="1"/>
  <c r="S182" i="2"/>
  <c r="T182" i="2" s="1"/>
  <c r="U182" i="2" s="1"/>
  <c r="V182" i="2" s="1"/>
  <c r="S178" i="2"/>
  <c r="T178" i="2" s="1"/>
  <c r="U178" i="2" s="1"/>
  <c r="V178" i="2" s="1"/>
  <c r="S174" i="2"/>
  <c r="T174" i="2" s="1"/>
  <c r="U174" i="2" s="1"/>
  <c r="V174" i="2" s="1"/>
  <c r="S170" i="2"/>
  <c r="S166" i="2"/>
  <c r="T166" i="2" s="1"/>
  <c r="U166" i="2" s="1"/>
  <c r="V166" i="2" s="1"/>
  <c r="S162" i="2"/>
  <c r="T162" i="2" s="1"/>
  <c r="U162" i="2" s="1"/>
  <c r="V162" i="2" s="1"/>
  <c r="S158" i="2"/>
  <c r="T158" i="2" s="1"/>
  <c r="U158" i="2" s="1"/>
  <c r="V158" i="2" s="1"/>
  <c r="S154" i="2"/>
  <c r="T154" i="2" s="1"/>
  <c r="U154" i="2" s="1"/>
  <c r="V154" i="2" s="1"/>
  <c r="S150" i="2"/>
  <c r="T150" i="2" s="1"/>
  <c r="U150" i="2" s="1"/>
  <c r="V150" i="2" s="1"/>
  <c r="S146" i="2"/>
  <c r="T146" i="2" s="1"/>
  <c r="U146" i="2" s="1"/>
  <c r="V146" i="2" s="1"/>
  <c r="S142" i="2"/>
  <c r="T142" i="2" s="1"/>
  <c r="U142" i="2" s="1"/>
  <c r="V142" i="2" s="1"/>
  <c r="S138" i="2"/>
  <c r="S134" i="2"/>
  <c r="T134" i="2" s="1"/>
  <c r="U134" i="2" s="1"/>
  <c r="V134" i="2" s="1"/>
  <c r="S130" i="2"/>
  <c r="T130" i="2" s="1"/>
  <c r="U130" i="2" s="1"/>
  <c r="V130" i="2" s="1"/>
  <c r="S126" i="2"/>
  <c r="T126" i="2" s="1"/>
  <c r="U126" i="2" s="1"/>
  <c r="V126" i="2" s="1"/>
  <c r="S122" i="2"/>
  <c r="T122" i="2" s="1"/>
  <c r="U122" i="2" s="1"/>
  <c r="V122" i="2" s="1"/>
  <c r="S118" i="2"/>
  <c r="T118" i="2" s="1"/>
  <c r="U118" i="2" s="1"/>
  <c r="V118" i="2" s="1"/>
  <c r="S114" i="2"/>
  <c r="T114" i="2" s="1"/>
  <c r="U114" i="2" s="1"/>
  <c r="V114" i="2" s="1"/>
  <c r="S110" i="2"/>
  <c r="T110" i="2" s="1"/>
  <c r="U110" i="2" s="1"/>
  <c r="V110" i="2" s="1"/>
  <c r="S106" i="2"/>
  <c r="T106" i="2" s="1"/>
  <c r="U106" i="2" s="1"/>
  <c r="V106" i="2" s="1"/>
  <c r="S102" i="2"/>
  <c r="T102" i="2" s="1"/>
  <c r="U102" i="2" s="1"/>
  <c r="V102" i="2" s="1"/>
  <c r="S98" i="2"/>
  <c r="T98" i="2" s="1"/>
  <c r="U98" i="2" s="1"/>
  <c r="V98" i="2" s="1"/>
  <c r="S94" i="2"/>
  <c r="T94" i="2" s="1"/>
  <c r="U94" i="2" s="1"/>
  <c r="V94" i="2" s="1"/>
  <c r="S90" i="2"/>
  <c r="S86" i="2"/>
  <c r="T86" i="2" s="1"/>
  <c r="U86" i="2" s="1"/>
  <c r="V86" i="2" s="1"/>
  <c r="S82" i="2"/>
  <c r="T82" i="2" s="1"/>
  <c r="U82" i="2" s="1"/>
  <c r="V82" i="2" s="1"/>
  <c r="S78" i="2"/>
  <c r="T78" i="2" s="1"/>
  <c r="U78" i="2" s="1"/>
  <c r="V78" i="2" s="1"/>
  <c r="S74" i="2"/>
  <c r="T74" i="2" s="1"/>
  <c r="U74" i="2" s="1"/>
  <c r="V74" i="2" s="1"/>
  <c r="S70" i="2"/>
  <c r="T70" i="2" s="1"/>
  <c r="U70" i="2" s="1"/>
  <c r="V70" i="2" s="1"/>
  <c r="S66" i="2"/>
  <c r="T66" i="2" s="1"/>
  <c r="U66" i="2" s="1"/>
  <c r="V66" i="2" s="1"/>
  <c r="S62" i="2"/>
  <c r="T62" i="2" s="1"/>
  <c r="U62" i="2" s="1"/>
  <c r="V62" i="2" s="1"/>
  <c r="S58" i="2"/>
  <c r="S54" i="2"/>
  <c r="T54" i="2" s="1"/>
  <c r="U54" i="2" s="1"/>
  <c r="V54" i="2" s="1"/>
  <c r="S50" i="2"/>
  <c r="T50" i="2" s="1"/>
  <c r="U50" i="2" s="1"/>
  <c r="V50" i="2" s="1"/>
  <c r="S46" i="2"/>
  <c r="T46" i="2" s="1"/>
  <c r="U46" i="2" s="1"/>
  <c r="V46" i="2" s="1"/>
  <c r="S42" i="2"/>
  <c r="T42" i="2" s="1"/>
  <c r="U42" i="2" s="1"/>
  <c r="V42" i="2" s="1"/>
  <c r="S38" i="2"/>
  <c r="T38" i="2" s="1"/>
  <c r="U38" i="2" s="1"/>
  <c r="V38" i="2" s="1"/>
  <c r="S34" i="2"/>
  <c r="T34" i="2" s="1"/>
  <c r="U34" i="2" s="1"/>
  <c r="V34" i="2" s="1"/>
  <c r="S30" i="2"/>
  <c r="T30" i="2" s="1"/>
  <c r="U30" i="2" s="1"/>
  <c r="V30" i="2" s="1"/>
  <c r="S26" i="2"/>
  <c r="T26" i="2" s="1"/>
  <c r="U26" i="2" s="1"/>
  <c r="V26" i="2" s="1"/>
  <c r="S22" i="2"/>
  <c r="T22" i="2" s="1"/>
  <c r="U22" i="2" s="1"/>
  <c r="V22" i="2" s="1"/>
  <c r="S235" i="2"/>
  <c r="T235" i="2" s="1"/>
  <c r="U235" i="2" s="1"/>
  <c r="V235" i="2" s="1"/>
  <c r="S231" i="2"/>
  <c r="T231" i="2" s="1"/>
  <c r="U231" i="2" s="1"/>
  <c r="V231" i="2" s="1"/>
  <c r="S227" i="2"/>
  <c r="T227" i="2" s="1"/>
  <c r="U227" i="2" s="1"/>
  <c r="V227" i="2" s="1"/>
  <c r="S223" i="2"/>
  <c r="T223" i="2" s="1"/>
  <c r="U223" i="2" s="1"/>
  <c r="V223" i="2" s="1"/>
  <c r="S219" i="2"/>
  <c r="T219" i="2" s="1"/>
  <c r="U219" i="2" s="1"/>
  <c r="V219" i="2" s="1"/>
  <c r="S215" i="2"/>
  <c r="T215" i="2" s="1"/>
  <c r="U215" i="2" s="1"/>
  <c r="V215" i="2" s="1"/>
  <c r="S211" i="2"/>
  <c r="T211" i="2" s="1"/>
  <c r="U211" i="2" s="1"/>
  <c r="V211" i="2" s="1"/>
  <c r="S207" i="2"/>
  <c r="T207" i="2" s="1"/>
  <c r="U207" i="2" s="1"/>
  <c r="V207" i="2" s="1"/>
  <c r="S203" i="2"/>
  <c r="T203" i="2" s="1"/>
  <c r="U203" i="2" s="1"/>
  <c r="V203" i="2" s="1"/>
  <c r="S199" i="2"/>
  <c r="T199" i="2" s="1"/>
  <c r="U199" i="2" s="1"/>
  <c r="V199" i="2" s="1"/>
  <c r="S195" i="2"/>
  <c r="T195" i="2" s="1"/>
  <c r="U195" i="2" s="1"/>
  <c r="V195" i="2" s="1"/>
  <c r="S191" i="2"/>
  <c r="T191" i="2" s="1"/>
  <c r="U191" i="2" s="1"/>
  <c r="V191" i="2" s="1"/>
  <c r="S187" i="2"/>
  <c r="T187" i="2" s="1"/>
  <c r="U187" i="2" s="1"/>
  <c r="V187" i="2" s="1"/>
  <c r="S183" i="2"/>
  <c r="T183" i="2" s="1"/>
  <c r="U183" i="2" s="1"/>
  <c r="V183" i="2" s="1"/>
  <c r="S179" i="2"/>
  <c r="T179" i="2" s="1"/>
  <c r="U179" i="2" s="1"/>
  <c r="V179" i="2" s="1"/>
  <c r="S175" i="2"/>
  <c r="T175" i="2" s="1"/>
  <c r="U175" i="2" s="1"/>
  <c r="V175" i="2" s="1"/>
  <c r="S171" i="2"/>
  <c r="T171" i="2" s="1"/>
  <c r="U171" i="2" s="1"/>
  <c r="V171" i="2" s="1"/>
  <c r="S167" i="2"/>
  <c r="T167" i="2" s="1"/>
  <c r="U167" i="2" s="1"/>
  <c r="V167" i="2" s="1"/>
  <c r="S163" i="2"/>
  <c r="T163" i="2" s="1"/>
  <c r="U163" i="2" s="1"/>
  <c r="V163" i="2" s="1"/>
  <c r="S159" i="2"/>
  <c r="T159" i="2" s="1"/>
  <c r="U159" i="2" s="1"/>
  <c r="V159" i="2" s="1"/>
  <c r="S155" i="2"/>
  <c r="T155" i="2" s="1"/>
  <c r="U155" i="2" s="1"/>
  <c r="V155" i="2" s="1"/>
  <c r="S151" i="2"/>
  <c r="T151" i="2" s="1"/>
  <c r="U151" i="2" s="1"/>
  <c r="V151" i="2" s="1"/>
  <c r="S147" i="2"/>
  <c r="T147" i="2" s="1"/>
  <c r="U147" i="2" s="1"/>
  <c r="V147" i="2" s="1"/>
  <c r="S143" i="2"/>
  <c r="T143" i="2" s="1"/>
  <c r="U143" i="2" s="1"/>
  <c r="V143" i="2" s="1"/>
  <c r="S139" i="2"/>
  <c r="T139" i="2" s="1"/>
  <c r="U139" i="2" s="1"/>
  <c r="V139" i="2" s="1"/>
  <c r="S135" i="2"/>
  <c r="T135" i="2" s="1"/>
  <c r="U135" i="2" s="1"/>
  <c r="V135" i="2" s="1"/>
  <c r="S131" i="2"/>
  <c r="T131" i="2" s="1"/>
  <c r="U131" i="2" s="1"/>
  <c r="V131" i="2" s="1"/>
  <c r="S127" i="2"/>
  <c r="T127" i="2" s="1"/>
  <c r="U127" i="2" s="1"/>
  <c r="V127" i="2" s="1"/>
  <c r="S123" i="2"/>
  <c r="T123" i="2" s="1"/>
  <c r="U123" i="2" s="1"/>
  <c r="V123" i="2" s="1"/>
  <c r="S119" i="2"/>
  <c r="T119" i="2" s="1"/>
  <c r="U119" i="2" s="1"/>
  <c r="V119" i="2" s="1"/>
  <c r="S115" i="2"/>
  <c r="T115" i="2" s="1"/>
  <c r="U115" i="2" s="1"/>
  <c r="V115" i="2" s="1"/>
  <c r="S111" i="2"/>
  <c r="T111" i="2" s="1"/>
  <c r="U111" i="2" s="1"/>
  <c r="V111" i="2" s="1"/>
  <c r="S107" i="2"/>
  <c r="T107" i="2" s="1"/>
  <c r="U107" i="2" s="1"/>
  <c r="V107" i="2" s="1"/>
  <c r="S103" i="2"/>
  <c r="T103" i="2" s="1"/>
  <c r="U103" i="2" s="1"/>
  <c r="V103" i="2" s="1"/>
  <c r="S99" i="2"/>
  <c r="S95" i="2"/>
  <c r="T95" i="2" s="1"/>
  <c r="U95" i="2" s="1"/>
  <c r="V95" i="2" s="1"/>
  <c r="S91" i="2"/>
  <c r="T91" i="2" s="1"/>
  <c r="U91" i="2" s="1"/>
  <c r="V91" i="2" s="1"/>
  <c r="S87" i="2"/>
  <c r="T87" i="2" s="1"/>
  <c r="U87" i="2" s="1"/>
  <c r="V87" i="2" s="1"/>
  <c r="S83" i="2"/>
  <c r="T83" i="2" s="1"/>
  <c r="U83" i="2" s="1"/>
  <c r="V83" i="2" s="1"/>
  <c r="S79" i="2"/>
  <c r="T79" i="2" s="1"/>
  <c r="U79" i="2" s="1"/>
  <c r="V79" i="2" s="1"/>
  <c r="S75" i="2"/>
  <c r="T75" i="2" s="1"/>
  <c r="U75" i="2" s="1"/>
  <c r="V75" i="2" s="1"/>
  <c r="S71" i="2"/>
  <c r="T71" i="2" s="1"/>
  <c r="U71" i="2" s="1"/>
  <c r="V71" i="2" s="1"/>
  <c r="S67" i="2"/>
  <c r="T67" i="2" s="1"/>
  <c r="U67" i="2" s="1"/>
  <c r="V67" i="2" s="1"/>
  <c r="S63" i="2"/>
  <c r="T63" i="2" s="1"/>
  <c r="U63" i="2" s="1"/>
  <c r="V63" i="2" s="1"/>
  <c r="S59" i="2"/>
  <c r="T59" i="2" s="1"/>
  <c r="U59" i="2" s="1"/>
  <c r="V59" i="2" s="1"/>
  <c r="S55" i="2"/>
  <c r="T55" i="2" s="1"/>
  <c r="U55" i="2" s="1"/>
  <c r="V55" i="2" s="1"/>
  <c r="S51" i="2"/>
  <c r="T51" i="2" s="1"/>
  <c r="U51" i="2" s="1"/>
  <c r="V51" i="2" s="1"/>
  <c r="S47" i="2"/>
  <c r="T47" i="2" s="1"/>
  <c r="U47" i="2" s="1"/>
  <c r="V47" i="2" s="1"/>
  <c r="S43" i="2"/>
  <c r="T43" i="2" s="1"/>
  <c r="U43" i="2" s="1"/>
  <c r="V43" i="2" s="1"/>
  <c r="S39" i="2"/>
  <c r="T39" i="2" s="1"/>
  <c r="U39" i="2" s="1"/>
  <c r="V39" i="2" s="1"/>
  <c r="S35" i="2"/>
  <c r="T35" i="2" s="1"/>
  <c r="U35" i="2" s="1"/>
  <c r="V35" i="2" s="1"/>
  <c r="S31" i="2"/>
  <c r="T31" i="2" s="1"/>
  <c r="U31" i="2" s="1"/>
  <c r="V31" i="2" s="1"/>
  <c r="S27" i="2"/>
  <c r="T27" i="2" s="1"/>
  <c r="U27" i="2" s="1"/>
  <c r="V27" i="2" s="1"/>
  <c r="S23" i="2"/>
  <c r="T23" i="2" s="1"/>
  <c r="U23" i="2" s="1"/>
  <c r="V23" i="2" s="1"/>
  <c r="S19" i="2"/>
  <c r="T19" i="2" s="1"/>
  <c r="U19" i="2" s="1"/>
  <c r="V19" i="2" s="1"/>
  <c r="AS10" i="7"/>
  <c r="AS11" i="7"/>
  <c r="AT9" i="7"/>
  <c r="S236" i="2"/>
  <c r="T236" i="2" s="1"/>
  <c r="U236" i="2" s="1"/>
  <c r="V236" i="2" s="1"/>
  <c r="S232" i="2"/>
  <c r="T232" i="2" s="1"/>
  <c r="U232" i="2" s="1"/>
  <c r="V232" i="2" s="1"/>
  <c r="S228" i="2"/>
  <c r="T228" i="2" s="1"/>
  <c r="U228" i="2" s="1"/>
  <c r="V228" i="2" s="1"/>
  <c r="S224" i="2"/>
  <c r="T224" i="2" s="1"/>
  <c r="U224" i="2" s="1"/>
  <c r="V224" i="2" s="1"/>
  <c r="S220" i="2"/>
  <c r="T220" i="2" s="1"/>
  <c r="U220" i="2" s="1"/>
  <c r="V220" i="2" s="1"/>
  <c r="S216" i="2"/>
  <c r="T216" i="2" s="1"/>
  <c r="U216" i="2" s="1"/>
  <c r="V216" i="2" s="1"/>
  <c r="S212" i="2"/>
  <c r="T212" i="2" s="1"/>
  <c r="U212" i="2" s="1"/>
  <c r="V212" i="2" s="1"/>
  <c r="S208" i="2"/>
  <c r="T208" i="2" s="1"/>
  <c r="U208" i="2" s="1"/>
  <c r="V208" i="2" s="1"/>
  <c r="S204" i="2"/>
  <c r="T204" i="2" s="1"/>
  <c r="U204" i="2" s="1"/>
  <c r="V204" i="2" s="1"/>
  <c r="S200" i="2"/>
  <c r="T200" i="2" s="1"/>
  <c r="U200" i="2" s="1"/>
  <c r="V200" i="2" s="1"/>
  <c r="S196" i="2"/>
  <c r="T196" i="2" s="1"/>
  <c r="U196" i="2" s="1"/>
  <c r="V196" i="2" s="1"/>
  <c r="S192" i="2"/>
  <c r="T192" i="2" s="1"/>
  <c r="U192" i="2" s="1"/>
  <c r="V192" i="2" s="1"/>
  <c r="S188" i="2"/>
  <c r="T188" i="2" s="1"/>
  <c r="U188" i="2" s="1"/>
  <c r="V188" i="2" s="1"/>
  <c r="S184" i="2"/>
  <c r="T184" i="2" s="1"/>
  <c r="U184" i="2" s="1"/>
  <c r="V184" i="2" s="1"/>
  <c r="S180" i="2"/>
  <c r="T180" i="2" s="1"/>
  <c r="U180" i="2" s="1"/>
  <c r="V180" i="2" s="1"/>
  <c r="S176" i="2"/>
  <c r="T176" i="2" s="1"/>
  <c r="U176" i="2" s="1"/>
  <c r="V176" i="2" s="1"/>
  <c r="S172" i="2"/>
  <c r="T172" i="2" s="1"/>
  <c r="U172" i="2" s="1"/>
  <c r="V172" i="2" s="1"/>
  <c r="S168" i="2"/>
  <c r="T168" i="2" s="1"/>
  <c r="U168" i="2" s="1"/>
  <c r="V168" i="2" s="1"/>
  <c r="S164" i="2"/>
  <c r="T164" i="2" s="1"/>
  <c r="U164" i="2" s="1"/>
  <c r="V164" i="2" s="1"/>
  <c r="S160" i="2"/>
  <c r="T160" i="2" s="1"/>
  <c r="U160" i="2" s="1"/>
  <c r="V160" i="2" s="1"/>
  <c r="S156" i="2"/>
  <c r="T156" i="2" s="1"/>
  <c r="U156" i="2" s="1"/>
  <c r="V156" i="2" s="1"/>
  <c r="S152" i="2"/>
  <c r="T152" i="2" s="1"/>
  <c r="U152" i="2" s="1"/>
  <c r="V152" i="2" s="1"/>
  <c r="S148" i="2"/>
  <c r="T148" i="2" s="1"/>
  <c r="U148" i="2" s="1"/>
  <c r="V148" i="2" s="1"/>
  <c r="S144" i="2"/>
  <c r="T144" i="2" s="1"/>
  <c r="U144" i="2" s="1"/>
  <c r="V144" i="2" s="1"/>
  <c r="S140" i="2"/>
  <c r="T140" i="2" s="1"/>
  <c r="U140" i="2" s="1"/>
  <c r="V140" i="2" s="1"/>
  <c r="S136" i="2"/>
  <c r="T136" i="2" s="1"/>
  <c r="U136" i="2" s="1"/>
  <c r="V136" i="2" s="1"/>
  <c r="S132" i="2"/>
  <c r="T132" i="2" s="1"/>
  <c r="U132" i="2" s="1"/>
  <c r="V132" i="2" s="1"/>
  <c r="S128" i="2"/>
  <c r="T128" i="2" s="1"/>
  <c r="U128" i="2" s="1"/>
  <c r="V128" i="2" s="1"/>
  <c r="S124" i="2"/>
  <c r="T124" i="2" s="1"/>
  <c r="U124" i="2" s="1"/>
  <c r="V124" i="2" s="1"/>
  <c r="S120" i="2"/>
  <c r="T120" i="2" s="1"/>
  <c r="U120" i="2" s="1"/>
  <c r="V120" i="2" s="1"/>
  <c r="S116" i="2"/>
  <c r="T116" i="2" s="1"/>
  <c r="U116" i="2" s="1"/>
  <c r="V116" i="2" s="1"/>
  <c r="S112" i="2"/>
  <c r="T112" i="2" s="1"/>
  <c r="U112" i="2" s="1"/>
  <c r="V112" i="2" s="1"/>
  <c r="S108" i="2"/>
  <c r="T108" i="2" s="1"/>
  <c r="U108" i="2" s="1"/>
  <c r="V108" i="2" s="1"/>
  <c r="S104" i="2"/>
  <c r="T104" i="2" s="1"/>
  <c r="U104" i="2" s="1"/>
  <c r="V104" i="2" s="1"/>
  <c r="S100" i="2"/>
  <c r="T100" i="2" s="1"/>
  <c r="U100" i="2" s="1"/>
  <c r="V100" i="2" s="1"/>
  <c r="S96" i="2"/>
  <c r="T96" i="2" s="1"/>
  <c r="U96" i="2" s="1"/>
  <c r="V96" i="2" s="1"/>
  <c r="S92" i="2"/>
  <c r="T92" i="2" s="1"/>
  <c r="U92" i="2" s="1"/>
  <c r="V92" i="2" s="1"/>
  <c r="S88" i="2"/>
  <c r="T88" i="2" s="1"/>
  <c r="U88" i="2" s="1"/>
  <c r="V88" i="2" s="1"/>
  <c r="S84" i="2"/>
  <c r="T84" i="2" s="1"/>
  <c r="U84" i="2" s="1"/>
  <c r="V84" i="2" s="1"/>
  <c r="S80" i="2"/>
  <c r="T80" i="2" s="1"/>
  <c r="U80" i="2" s="1"/>
  <c r="V80" i="2" s="1"/>
  <c r="S76" i="2"/>
  <c r="T76" i="2" s="1"/>
  <c r="U76" i="2" s="1"/>
  <c r="V76" i="2" s="1"/>
  <c r="S72" i="2"/>
  <c r="T72" i="2" s="1"/>
  <c r="U72" i="2" s="1"/>
  <c r="V72" i="2" s="1"/>
  <c r="S68" i="2"/>
  <c r="T68" i="2" s="1"/>
  <c r="U68" i="2" s="1"/>
  <c r="V68" i="2" s="1"/>
  <c r="S64" i="2"/>
  <c r="T64" i="2" s="1"/>
  <c r="U64" i="2" s="1"/>
  <c r="V64" i="2" s="1"/>
  <c r="S60" i="2"/>
  <c r="T60" i="2" s="1"/>
  <c r="U60" i="2" s="1"/>
  <c r="V60" i="2" s="1"/>
  <c r="S56" i="2"/>
  <c r="T56" i="2" s="1"/>
  <c r="U56" i="2" s="1"/>
  <c r="V56" i="2" s="1"/>
  <c r="S52" i="2"/>
  <c r="T52" i="2" s="1"/>
  <c r="U52" i="2" s="1"/>
  <c r="V52" i="2" s="1"/>
  <c r="S48" i="2"/>
  <c r="T48" i="2" s="1"/>
  <c r="U48" i="2" s="1"/>
  <c r="V48" i="2" s="1"/>
  <c r="S44" i="2"/>
  <c r="T44" i="2" s="1"/>
  <c r="U44" i="2" s="1"/>
  <c r="V44" i="2" s="1"/>
  <c r="S40" i="2"/>
  <c r="T40" i="2" s="1"/>
  <c r="U40" i="2" s="1"/>
  <c r="V40" i="2" s="1"/>
  <c r="S36" i="2"/>
  <c r="T36" i="2" s="1"/>
  <c r="U36" i="2" s="1"/>
  <c r="V36" i="2" s="1"/>
  <c r="S32" i="2"/>
  <c r="T32" i="2" s="1"/>
  <c r="U32" i="2" s="1"/>
  <c r="V32" i="2" s="1"/>
  <c r="S28" i="2"/>
  <c r="T28" i="2" s="1"/>
  <c r="U28" i="2" s="1"/>
  <c r="V28" i="2" s="1"/>
  <c r="S24" i="2"/>
  <c r="T24" i="2" s="1"/>
  <c r="U24" i="2" s="1"/>
  <c r="V24" i="2" s="1"/>
  <c r="S20" i="2"/>
  <c r="T20" i="2" s="1"/>
  <c r="U20" i="2" s="1"/>
  <c r="V20" i="2" s="1"/>
  <c r="T25" i="2"/>
  <c r="U25" i="2" s="1"/>
  <c r="V25" i="2" s="1"/>
  <c r="T29" i="2"/>
  <c r="U29" i="2" s="1"/>
  <c r="V29" i="2" s="1"/>
  <c r="T41" i="2"/>
  <c r="U41" i="2" s="1"/>
  <c r="V41" i="2" s="1"/>
  <c r="T45" i="2"/>
  <c r="U45" i="2" s="1"/>
  <c r="V45" i="2" s="1"/>
  <c r="T53" i="2"/>
  <c r="U53" i="2" s="1"/>
  <c r="V53" i="2" s="1"/>
  <c r="T57" i="2"/>
  <c r="U57" i="2" s="1"/>
  <c r="V57" i="2" s="1"/>
  <c r="T61" i="2"/>
  <c r="U61" i="2" s="1"/>
  <c r="V61" i="2" s="1"/>
  <c r="T73" i="2"/>
  <c r="U73" i="2" s="1"/>
  <c r="V73" i="2" s="1"/>
  <c r="T77" i="2"/>
  <c r="U77" i="2" s="1"/>
  <c r="V77" i="2" s="1"/>
  <c r="T93" i="2"/>
  <c r="U93" i="2" s="1"/>
  <c r="V93" i="2" s="1"/>
  <c r="T101" i="2"/>
  <c r="U101" i="2" s="1"/>
  <c r="V101" i="2" s="1"/>
  <c r="T105" i="2"/>
  <c r="U105" i="2" s="1"/>
  <c r="V105" i="2" s="1"/>
  <c r="T109" i="2"/>
  <c r="U109" i="2" s="1"/>
  <c r="V109" i="2" s="1"/>
  <c r="T121" i="2"/>
  <c r="U121" i="2" s="1"/>
  <c r="V121" i="2" s="1"/>
  <c r="T125" i="2"/>
  <c r="U125" i="2" s="1"/>
  <c r="V125" i="2" s="1"/>
  <c r="T133" i="2"/>
  <c r="U133" i="2" s="1"/>
  <c r="V133" i="2" s="1"/>
  <c r="T137" i="2"/>
  <c r="U137" i="2" s="1"/>
  <c r="V137" i="2" s="1"/>
  <c r="T141" i="2"/>
  <c r="U141" i="2" s="1"/>
  <c r="V141" i="2" s="1"/>
  <c r="T153" i="2"/>
  <c r="U153" i="2" s="1"/>
  <c r="V153" i="2" s="1"/>
  <c r="T157" i="2"/>
  <c r="U157" i="2" s="1"/>
  <c r="V157" i="2" s="1"/>
  <c r="T165" i="2"/>
  <c r="U165" i="2" s="1"/>
  <c r="V165" i="2" s="1"/>
  <c r="T169" i="2"/>
  <c r="U169" i="2" s="1"/>
  <c r="V169" i="2" s="1"/>
  <c r="T173" i="2"/>
  <c r="U173" i="2" s="1"/>
  <c r="V173" i="2" s="1"/>
  <c r="T185" i="2"/>
  <c r="U185" i="2" s="1"/>
  <c r="V185" i="2" s="1"/>
  <c r="T189" i="2"/>
  <c r="U189" i="2" s="1"/>
  <c r="V189" i="2" s="1"/>
  <c r="T197" i="2"/>
  <c r="U197" i="2" s="1"/>
  <c r="V197" i="2" s="1"/>
  <c r="T201" i="2"/>
  <c r="U201" i="2" s="1"/>
  <c r="V201" i="2" s="1"/>
  <c r="T205" i="2"/>
  <c r="U205" i="2" s="1"/>
  <c r="V205" i="2" s="1"/>
  <c r="T217" i="2"/>
  <c r="U217" i="2" s="1"/>
  <c r="V217" i="2" s="1"/>
  <c r="T221" i="2"/>
  <c r="U221" i="2" s="1"/>
  <c r="V221" i="2" s="1"/>
  <c r="T229" i="2"/>
  <c r="U229" i="2" s="1"/>
  <c r="V229" i="2" s="1"/>
  <c r="T233" i="2"/>
  <c r="U233" i="2" s="1"/>
  <c r="V233" i="2" s="1"/>
  <c r="T237" i="2"/>
  <c r="U237" i="2" s="1"/>
  <c r="V237" i="2" s="1"/>
  <c r="T99" i="2"/>
  <c r="U99" i="2" s="1"/>
  <c r="V99" i="2" s="1"/>
  <c r="T234" i="2"/>
  <c r="U234" i="2" s="1"/>
  <c r="V234" i="2" s="1"/>
  <c r="T218" i="2"/>
  <c r="U218" i="2" s="1"/>
  <c r="V218" i="2" s="1"/>
  <c r="T170" i="2"/>
  <c r="U170" i="2" s="1"/>
  <c r="V170" i="2" s="1"/>
  <c r="T138" i="2"/>
  <c r="U138" i="2" s="1"/>
  <c r="V138" i="2" s="1"/>
  <c r="T90" i="2"/>
  <c r="U90" i="2" s="1"/>
  <c r="V90" i="2" s="1"/>
  <c r="T58" i="2"/>
  <c r="U58" i="2" s="1"/>
  <c r="V58" i="2" s="1"/>
  <c r="T225" i="2"/>
  <c r="U225" i="2" s="1"/>
  <c r="V225" i="2" s="1"/>
  <c r="T213" i="2"/>
  <c r="U213" i="2" s="1"/>
  <c r="V213" i="2" s="1"/>
  <c r="T209" i="2"/>
  <c r="U209" i="2" s="1"/>
  <c r="V209" i="2" s="1"/>
  <c r="T193" i="2"/>
  <c r="U193" i="2" s="1"/>
  <c r="V193" i="2" s="1"/>
  <c r="T181" i="2"/>
  <c r="U181" i="2" s="1"/>
  <c r="V181" i="2" s="1"/>
  <c r="T177" i="2"/>
  <c r="U177" i="2" s="1"/>
  <c r="V177" i="2" s="1"/>
  <c r="T161" i="2"/>
  <c r="U161" i="2" s="1"/>
  <c r="V161" i="2" s="1"/>
  <c r="T149" i="2"/>
  <c r="U149" i="2" s="1"/>
  <c r="V149" i="2" s="1"/>
  <c r="T145" i="2"/>
  <c r="U145" i="2" s="1"/>
  <c r="V145" i="2" s="1"/>
  <c r="T129" i="2"/>
  <c r="U129" i="2" s="1"/>
  <c r="V129" i="2" s="1"/>
  <c r="T117" i="2"/>
  <c r="U117" i="2" s="1"/>
  <c r="V117" i="2" s="1"/>
  <c r="T113" i="2"/>
  <c r="U113" i="2" s="1"/>
  <c r="V113" i="2" s="1"/>
  <c r="T97" i="2"/>
  <c r="U97" i="2" s="1"/>
  <c r="V97" i="2" s="1"/>
  <c r="T89" i="2"/>
  <c r="U89" i="2" s="1"/>
  <c r="V89" i="2" s="1"/>
  <c r="T85" i="2"/>
  <c r="U85" i="2" s="1"/>
  <c r="V85" i="2" s="1"/>
  <c r="T81" i="2"/>
  <c r="U81" i="2" s="1"/>
  <c r="V81" i="2" s="1"/>
  <c r="T69" i="2"/>
  <c r="U69" i="2" s="1"/>
  <c r="V69" i="2" s="1"/>
  <c r="T65" i="2"/>
  <c r="U65" i="2" s="1"/>
  <c r="V65" i="2" s="1"/>
  <c r="T49" i="2"/>
  <c r="U49" i="2" s="1"/>
  <c r="V49" i="2" s="1"/>
  <c r="T37" i="2"/>
  <c r="U37" i="2" s="1"/>
  <c r="V37" i="2" s="1"/>
  <c r="T33" i="2"/>
  <c r="U33" i="2" s="1"/>
  <c r="V33" i="2" s="1"/>
  <c r="T21" i="2"/>
  <c r="U21" i="2" s="1"/>
  <c r="V21" i="2" s="1"/>
  <c r="AT29" i="7" l="1"/>
  <c r="AT39" i="7"/>
  <c r="AT35" i="7"/>
  <c r="AT36" i="7"/>
  <c r="AT40" i="7"/>
  <c r="AT37" i="7"/>
  <c r="AT38" i="7"/>
  <c r="AT33" i="7"/>
  <c r="AT28" i="7"/>
  <c r="AT34" i="7"/>
  <c r="AT31" i="7"/>
  <c r="AT24" i="7"/>
  <c r="AT27" i="7"/>
  <c r="AT25" i="7"/>
  <c r="AT32" i="7"/>
  <c r="AT26" i="7"/>
  <c r="AT22" i="7"/>
  <c r="AT18" i="7"/>
  <c r="AT14" i="7"/>
  <c r="AT19" i="7"/>
  <c r="AT15" i="7"/>
  <c r="AT23" i="7"/>
  <c r="AT20" i="7"/>
  <c r="AT16" i="7"/>
  <c r="AT17" i="7"/>
  <c r="AT21" i="7"/>
  <c r="AT13" i="7"/>
  <c r="AT12" i="7"/>
  <c r="AT11" i="7"/>
  <c r="AT10" i="7"/>
  <c r="AU9" i="7"/>
  <c r="V238" i="2"/>
  <c r="H17" i="1" s="1"/>
  <c r="H16" i="1" s="1"/>
  <c r="AU29" i="7" l="1"/>
  <c r="AU36" i="7"/>
  <c r="AU40" i="7"/>
  <c r="AU37" i="7"/>
  <c r="AU38" i="7"/>
  <c r="AU39" i="7"/>
  <c r="AU35" i="7"/>
  <c r="AU34" i="7"/>
  <c r="AU31" i="7"/>
  <c r="AU32" i="7"/>
  <c r="AU27" i="7"/>
  <c r="AU28" i="7"/>
  <c r="AU25" i="7"/>
  <c r="AU26" i="7"/>
  <c r="AU33" i="7"/>
  <c r="AU19" i="7"/>
  <c r="AU15" i="7"/>
  <c r="AU23" i="7"/>
  <c r="AU20" i="7"/>
  <c r="AU16" i="7"/>
  <c r="AU21" i="7"/>
  <c r="AU17" i="7"/>
  <c r="AU13" i="7"/>
  <c r="AU14" i="7"/>
  <c r="AU12" i="7"/>
  <c r="AU24" i="7"/>
  <c r="AU22" i="7"/>
  <c r="AU18" i="7"/>
  <c r="AU10" i="7"/>
  <c r="AU11" i="7"/>
  <c r="AV9" i="7"/>
  <c r="AV29" i="7" l="1"/>
  <c r="AV40" i="7"/>
  <c r="AV37" i="7"/>
  <c r="AV38" i="7"/>
  <c r="AV39" i="7"/>
  <c r="AV36" i="7"/>
  <c r="AV32" i="7"/>
  <c r="AV35" i="7"/>
  <c r="AV33" i="7"/>
  <c r="AV28" i="7"/>
  <c r="AV27" i="7"/>
  <c r="AV26" i="7"/>
  <c r="AV34" i="7"/>
  <c r="AV31" i="7"/>
  <c r="AV23" i="7"/>
  <c r="AV20" i="7"/>
  <c r="AV16" i="7"/>
  <c r="AV25" i="7"/>
  <c r="AV21" i="7"/>
  <c r="AV17" i="7"/>
  <c r="AV24" i="7"/>
  <c r="AV22" i="7"/>
  <c r="AV18" i="7"/>
  <c r="AV14" i="7"/>
  <c r="AV15" i="7"/>
  <c r="AV13" i="7"/>
  <c r="AV12" i="7"/>
  <c r="AV19" i="7"/>
  <c r="AV10" i="7"/>
  <c r="AV11" i="7"/>
  <c r="AW9" i="7"/>
  <c r="J145" i="6"/>
  <c r="J128" i="6"/>
  <c r="J111" i="6"/>
  <c r="J94" i="6"/>
  <c r="J77" i="6"/>
  <c r="J60" i="6"/>
  <c r="J156" i="6" s="1"/>
  <c r="AW29" i="7" l="1"/>
  <c r="AW38" i="7"/>
  <c r="AW39" i="7"/>
  <c r="AW35" i="7"/>
  <c r="AW36" i="7"/>
  <c r="AW40" i="7"/>
  <c r="AW37" i="7"/>
  <c r="AW32" i="7"/>
  <c r="AW27" i="7"/>
  <c r="AW33" i="7"/>
  <c r="AW34" i="7"/>
  <c r="AW31" i="7"/>
  <c r="AW23" i="7"/>
  <c r="AW25" i="7"/>
  <c r="AW28" i="7"/>
  <c r="AW21" i="7"/>
  <c r="AW17" i="7"/>
  <c r="AW13" i="7"/>
  <c r="AW24" i="7"/>
  <c r="AW22" i="7"/>
  <c r="AW18" i="7"/>
  <c r="AW14" i="7"/>
  <c r="AW26" i="7"/>
  <c r="AW19" i="7"/>
  <c r="AW15" i="7"/>
  <c r="AW20" i="7"/>
  <c r="AW12" i="7"/>
  <c r="AW16" i="7"/>
  <c r="AW10" i="7"/>
  <c r="AW11" i="7"/>
  <c r="AX9" i="7"/>
  <c r="AX29" i="7" l="1"/>
  <c r="AX39" i="7"/>
  <c r="AX35" i="7"/>
  <c r="AX36" i="7"/>
  <c r="AX40" i="7"/>
  <c r="AX37" i="7"/>
  <c r="AX38" i="7"/>
  <c r="AX33" i="7"/>
  <c r="AX28" i="7"/>
  <c r="AX34" i="7"/>
  <c r="AX31" i="7"/>
  <c r="AX24" i="7"/>
  <c r="AX32" i="7"/>
  <c r="AX25" i="7"/>
  <c r="AX26" i="7"/>
  <c r="AX22" i="7"/>
  <c r="AX18" i="7"/>
  <c r="AX14" i="7"/>
  <c r="AX27" i="7"/>
  <c r="AX19" i="7"/>
  <c r="AX15" i="7"/>
  <c r="AX20" i="7"/>
  <c r="AX16" i="7"/>
  <c r="AX13" i="7"/>
  <c r="AX12" i="7"/>
  <c r="AX23" i="7"/>
  <c r="AX21" i="7"/>
  <c r="AX17" i="7"/>
  <c r="AX11" i="7"/>
  <c r="AX10" i="7"/>
  <c r="AY9" i="7"/>
  <c r="AY29" i="7" l="1"/>
  <c r="AY36" i="7"/>
  <c r="AY40" i="7"/>
  <c r="AY37" i="7"/>
  <c r="AY38" i="7"/>
  <c r="AY39" i="7"/>
  <c r="AY35" i="7"/>
  <c r="AY34" i="7"/>
  <c r="AY31" i="7"/>
  <c r="AY32" i="7"/>
  <c r="AY27" i="7"/>
  <c r="AY25" i="7"/>
  <c r="AY33" i="7"/>
  <c r="AY26" i="7"/>
  <c r="AY28" i="7"/>
  <c r="AY24" i="7"/>
  <c r="AY19" i="7"/>
  <c r="AY15" i="7"/>
  <c r="AY20" i="7"/>
  <c r="AY16" i="7"/>
  <c r="AY23" i="7"/>
  <c r="AY21" i="7"/>
  <c r="AY17" i="7"/>
  <c r="AY13" i="7"/>
  <c r="AY22" i="7"/>
  <c r="AY12" i="7"/>
  <c r="AY18" i="7"/>
  <c r="AY14" i="7"/>
  <c r="AY10" i="7"/>
  <c r="AY11" i="7"/>
  <c r="AZ9" i="7"/>
  <c r="AZ29" i="7" l="1"/>
  <c r="AZ40" i="7"/>
  <c r="AZ37" i="7"/>
  <c r="AZ38" i="7"/>
  <c r="AZ39" i="7"/>
  <c r="AZ36" i="7"/>
  <c r="AZ35" i="7"/>
  <c r="AZ32" i="7"/>
  <c r="AZ33" i="7"/>
  <c r="AZ28" i="7"/>
  <c r="AZ26" i="7"/>
  <c r="AZ34" i="7"/>
  <c r="AZ31" i="7"/>
  <c r="AZ27" i="7"/>
  <c r="AZ24" i="7"/>
  <c r="AZ25" i="7"/>
  <c r="AZ20" i="7"/>
  <c r="AZ16" i="7"/>
  <c r="AZ23" i="7"/>
  <c r="AZ21" i="7"/>
  <c r="AZ17" i="7"/>
  <c r="AZ22" i="7"/>
  <c r="AZ18" i="7"/>
  <c r="AZ14" i="7"/>
  <c r="AZ13" i="7"/>
  <c r="AZ12" i="7"/>
  <c r="AZ19" i="7"/>
  <c r="AZ15" i="7"/>
  <c r="AZ10" i="7"/>
  <c r="AZ11" i="7"/>
  <c r="BA9" i="7"/>
  <c r="I156" i="6"/>
  <c r="H53" i="1"/>
  <c r="BA29" i="7" l="1"/>
  <c r="BA38" i="7"/>
  <c r="BA39" i="7"/>
  <c r="BA35" i="7"/>
  <c r="BA36" i="7"/>
  <c r="BA40" i="7"/>
  <c r="BA37" i="7"/>
  <c r="BA32" i="7"/>
  <c r="BA27" i="7"/>
  <c r="BA33" i="7"/>
  <c r="BA34" i="7"/>
  <c r="BA31" i="7"/>
  <c r="BA23" i="7"/>
  <c r="BA28" i="7"/>
  <c r="BA24" i="7"/>
  <c r="BA25" i="7"/>
  <c r="BA21" i="7"/>
  <c r="BA17" i="7"/>
  <c r="BA13" i="7"/>
  <c r="BA26" i="7"/>
  <c r="BA22" i="7"/>
  <c r="BA18" i="7"/>
  <c r="BA14" i="7"/>
  <c r="BA19" i="7"/>
  <c r="BA15" i="7"/>
  <c r="BA16" i="7"/>
  <c r="BA12" i="7"/>
  <c r="BA20" i="7"/>
  <c r="J157" i="6"/>
  <c r="H47" i="1" s="1"/>
  <c r="BA10" i="7"/>
  <c r="BA11" i="7"/>
  <c r="BB9" i="7"/>
  <c r="H54" i="1"/>
  <c r="BB29" i="7" l="1"/>
  <c r="BB39" i="7"/>
  <c r="BB35" i="7"/>
  <c r="BB36" i="7"/>
  <c r="BB40" i="7"/>
  <c r="BB37" i="7"/>
  <c r="BB38" i="7"/>
  <c r="BB33" i="7"/>
  <c r="BB28" i="7"/>
  <c r="BB34" i="7"/>
  <c r="BB31" i="7"/>
  <c r="BB32" i="7"/>
  <c r="BB24" i="7"/>
  <c r="BB27" i="7"/>
  <c r="BB25" i="7"/>
  <c r="BB26" i="7"/>
  <c r="BB23" i="7"/>
  <c r="BB22" i="7"/>
  <c r="BB18" i="7"/>
  <c r="BB14" i="7"/>
  <c r="BB19" i="7"/>
  <c r="BB15" i="7"/>
  <c r="BB20" i="7"/>
  <c r="BB16" i="7"/>
  <c r="BB21" i="7"/>
  <c r="BB17" i="7"/>
  <c r="BB13" i="7"/>
  <c r="BB12" i="7"/>
  <c r="BB11" i="7"/>
  <c r="BC9" i="7"/>
  <c r="BB10" i="7"/>
  <c r="H51" i="1"/>
  <c r="BC29" i="7" l="1"/>
  <c r="BC36" i="7"/>
  <c r="BC40" i="7"/>
  <c r="BC37" i="7"/>
  <c r="BC38" i="7"/>
  <c r="BC39" i="7"/>
  <c r="BC35" i="7"/>
  <c r="BC34" i="7"/>
  <c r="BC31" i="7"/>
  <c r="BC32" i="7"/>
  <c r="BC27" i="7"/>
  <c r="BC33" i="7"/>
  <c r="BC28" i="7"/>
  <c r="BC25" i="7"/>
  <c r="BC26" i="7"/>
  <c r="BC19" i="7"/>
  <c r="BC15" i="7"/>
  <c r="BC20" i="7"/>
  <c r="BC16" i="7"/>
  <c r="BC21" i="7"/>
  <c r="BC17" i="7"/>
  <c r="BC13" i="7"/>
  <c r="BC24" i="7"/>
  <c r="BC23" i="7"/>
  <c r="BC22" i="7"/>
  <c r="BC12" i="7"/>
  <c r="BC18" i="7"/>
  <c r="BC14" i="7"/>
  <c r="BC10" i="7"/>
  <c r="BD9" i="7"/>
  <c r="BC11" i="7"/>
  <c r="H50" i="1"/>
  <c r="H55" i="1"/>
  <c r="BD29" i="7" l="1"/>
  <c r="BD40" i="7"/>
  <c r="BD37" i="7"/>
  <c r="BD38" i="7"/>
  <c r="BD39" i="7"/>
  <c r="BD36" i="7"/>
  <c r="BD35" i="7"/>
  <c r="BD32" i="7"/>
  <c r="BD33" i="7"/>
  <c r="BD28" i="7"/>
  <c r="BD34" i="7"/>
  <c r="BD27" i="7"/>
  <c r="BD26" i="7"/>
  <c r="BD31" i="7"/>
  <c r="BD24" i="7"/>
  <c r="BD20" i="7"/>
  <c r="BD16" i="7"/>
  <c r="BD21" i="7"/>
  <c r="BD17" i="7"/>
  <c r="BD23" i="7"/>
  <c r="BD22" i="7"/>
  <c r="BD18" i="7"/>
  <c r="BD14" i="7"/>
  <c r="BD12" i="7"/>
  <c r="BD19" i="7"/>
  <c r="BD13" i="7"/>
  <c r="BD15" i="7"/>
  <c r="BD25" i="7"/>
  <c r="BD10" i="7"/>
  <c r="BD11" i="7"/>
  <c r="BE9" i="7"/>
  <c r="BE29" i="7" l="1"/>
  <c r="BE38" i="7"/>
  <c r="BE39" i="7"/>
  <c r="BE35" i="7"/>
  <c r="BE36" i="7"/>
  <c r="BE40" i="7"/>
  <c r="BE37" i="7"/>
  <c r="BE32" i="7"/>
  <c r="BE27" i="7"/>
  <c r="BE33" i="7"/>
  <c r="BE34" i="7"/>
  <c r="BE31" i="7"/>
  <c r="BE23" i="7"/>
  <c r="BE24" i="7"/>
  <c r="BE25" i="7"/>
  <c r="BE26" i="7"/>
  <c r="BE21" i="7"/>
  <c r="BE17" i="7"/>
  <c r="BE13" i="7"/>
  <c r="BE22" i="7"/>
  <c r="BE18" i="7"/>
  <c r="BE14" i="7"/>
  <c r="BE19" i="7"/>
  <c r="BE15" i="7"/>
  <c r="BE12" i="7"/>
  <c r="BE16" i="7"/>
  <c r="BE28" i="7"/>
  <c r="BE20" i="7"/>
  <c r="H41" i="1"/>
  <c r="H42" i="1" s="1"/>
  <c r="BE10" i="7"/>
  <c r="BE11" i="7"/>
  <c r="BF9" i="7"/>
  <c r="BF29" i="7" l="1"/>
  <c r="BF39" i="7"/>
  <c r="BF35" i="7"/>
  <c r="BF36" i="7"/>
  <c r="BF40" i="7"/>
  <c r="BF37" i="7"/>
  <c r="BF38" i="7"/>
  <c r="BF33" i="7"/>
  <c r="BF28" i="7"/>
  <c r="BF34" i="7"/>
  <c r="BF31" i="7"/>
  <c r="BF24" i="7"/>
  <c r="BF25" i="7"/>
  <c r="BF26" i="7"/>
  <c r="BF27" i="7"/>
  <c r="BF22" i="7"/>
  <c r="BF18" i="7"/>
  <c r="BF14" i="7"/>
  <c r="BF23" i="7"/>
  <c r="BF19" i="7"/>
  <c r="BF15" i="7"/>
  <c r="BF20" i="7"/>
  <c r="BF16" i="7"/>
  <c r="BF17" i="7"/>
  <c r="BF13" i="7"/>
  <c r="BF12" i="7"/>
  <c r="BF32" i="7"/>
  <c r="BF21" i="7"/>
  <c r="BF11" i="7"/>
  <c r="BG9" i="7"/>
  <c r="BF10" i="7"/>
  <c r="H56" i="1"/>
  <c r="H57" i="1"/>
  <c r="H58" i="1"/>
  <c r="BG29" i="7" l="1"/>
  <c r="BG36" i="7"/>
  <c r="BG40" i="7"/>
  <c r="BG37" i="7"/>
  <c r="BG38" i="7"/>
  <c r="BG39" i="7"/>
  <c r="BG35" i="7"/>
  <c r="BG34" i="7"/>
  <c r="BG31" i="7"/>
  <c r="BG32" i="7"/>
  <c r="BG27" i="7"/>
  <c r="BG25" i="7"/>
  <c r="BG26" i="7"/>
  <c r="BG28" i="7"/>
  <c r="BG23" i="7"/>
  <c r="BG19" i="7"/>
  <c r="BG15" i="7"/>
  <c r="BG20" i="7"/>
  <c r="BG16" i="7"/>
  <c r="BG33" i="7"/>
  <c r="BG24" i="7"/>
  <c r="BG21" i="7"/>
  <c r="BG17" i="7"/>
  <c r="BG13" i="7"/>
  <c r="BG18" i="7"/>
  <c r="BG14" i="7"/>
  <c r="BG12" i="7"/>
  <c r="BG22" i="7"/>
  <c r="BG10" i="7"/>
  <c r="BG11" i="7"/>
  <c r="BH9" i="7"/>
  <c r="H49" i="1"/>
  <c r="H60" i="1" s="1"/>
  <c r="BH29" i="7" l="1"/>
  <c r="BH40" i="7"/>
  <c r="BH37" i="7"/>
  <c r="BH38" i="7"/>
  <c r="BH39" i="7"/>
  <c r="BH36" i="7"/>
  <c r="BH32" i="7"/>
  <c r="BH33" i="7"/>
  <c r="BH28" i="7"/>
  <c r="BH35" i="7"/>
  <c r="BH31" i="7"/>
  <c r="BH26" i="7"/>
  <c r="BH27" i="7"/>
  <c r="BH24" i="7"/>
  <c r="BH20" i="7"/>
  <c r="BH16" i="7"/>
  <c r="BH34" i="7"/>
  <c r="BH21" i="7"/>
  <c r="BH17" i="7"/>
  <c r="BH25" i="7"/>
  <c r="BH22" i="7"/>
  <c r="BH18" i="7"/>
  <c r="BH14" i="7"/>
  <c r="BH19" i="7"/>
  <c r="BH13" i="7"/>
  <c r="BH15" i="7"/>
  <c r="BH12" i="7"/>
  <c r="BH23" i="7"/>
  <c r="H61" i="1"/>
  <c r="BH10" i="7"/>
  <c r="BH11" i="7"/>
  <c r="BI9" i="7"/>
  <c r="BI29" i="7" l="1"/>
  <c r="BI38" i="7"/>
  <c r="BI39" i="7"/>
  <c r="BI35" i="7"/>
  <c r="BI36" i="7"/>
  <c r="BI40" i="7"/>
  <c r="BI37" i="7"/>
  <c r="BI32" i="7"/>
  <c r="BI27" i="7"/>
  <c r="BI33" i="7"/>
  <c r="BI34" i="7"/>
  <c r="BI31" i="7"/>
  <c r="BI23" i="7"/>
  <c r="BI28" i="7"/>
  <c r="BI24" i="7"/>
  <c r="BI25" i="7"/>
  <c r="BI21" i="7"/>
  <c r="BI17" i="7"/>
  <c r="BI13" i="7"/>
  <c r="BI22" i="7"/>
  <c r="BI18" i="7"/>
  <c r="BI14" i="7"/>
  <c r="BI19" i="7"/>
  <c r="BI15" i="7"/>
  <c r="BI12" i="7"/>
  <c r="BI20" i="7"/>
  <c r="BI26" i="7"/>
  <c r="BI16" i="7"/>
  <c r="BI10" i="7"/>
  <c r="BI11" i="7"/>
  <c r="BJ9" i="7"/>
  <c r="H62" i="1"/>
  <c r="BJ29" i="7" l="1"/>
  <c r="BJ39" i="7"/>
  <c r="BJ35" i="7"/>
  <c r="BJ36" i="7"/>
  <c r="BJ40" i="7"/>
  <c r="BJ37" i="7"/>
  <c r="BJ38" i="7"/>
  <c r="BJ33" i="7"/>
  <c r="BJ28" i="7"/>
  <c r="BJ34" i="7"/>
  <c r="BJ31" i="7"/>
  <c r="BJ24" i="7"/>
  <c r="BJ27" i="7"/>
  <c r="BJ25" i="7"/>
  <c r="BJ32" i="7"/>
  <c r="BJ26" i="7"/>
  <c r="BJ22" i="7"/>
  <c r="BJ18" i="7"/>
  <c r="BJ14" i="7"/>
  <c r="BJ19" i="7"/>
  <c r="BJ15" i="7"/>
  <c r="BJ23" i="7"/>
  <c r="BJ20" i="7"/>
  <c r="BJ16" i="7"/>
  <c r="BJ12" i="7"/>
  <c r="BJ21" i="7"/>
  <c r="BJ13" i="7"/>
  <c r="BJ17" i="7"/>
  <c r="H63" i="1"/>
  <c r="H64" i="1" s="1"/>
  <c r="J4" i="1"/>
  <c r="BJ11" i="7"/>
  <c r="BK9" i="7"/>
  <c r="BJ10" i="7"/>
  <c r="BK29" i="7" l="1"/>
  <c r="BK36" i="7"/>
  <c r="BK40" i="7"/>
  <c r="BK37" i="7"/>
  <c r="BK38" i="7"/>
  <c r="BK39" i="7"/>
  <c r="BK35" i="7"/>
  <c r="BK34" i="7"/>
  <c r="BK31" i="7"/>
  <c r="BK32" i="7"/>
  <c r="BK27" i="7"/>
  <c r="BK28" i="7"/>
  <c r="BK25" i="7"/>
  <c r="BK26" i="7"/>
  <c r="BK33" i="7"/>
  <c r="BK19" i="7"/>
  <c r="BK15" i="7"/>
  <c r="BK24" i="7"/>
  <c r="BK23" i="7"/>
  <c r="BK20" i="7"/>
  <c r="BK16" i="7"/>
  <c r="BK21" i="7"/>
  <c r="BK17" i="7"/>
  <c r="BK13" i="7"/>
  <c r="BK14" i="7"/>
  <c r="BK18" i="7"/>
  <c r="BK12" i="7"/>
  <c r="BK22" i="7"/>
  <c r="G81" i="1"/>
  <c r="O8" i="1" s="1"/>
  <c r="G69" i="1"/>
  <c r="O5" i="1" s="1"/>
  <c r="G72" i="1"/>
  <c r="O6" i="1" s="1"/>
  <c r="G75" i="1"/>
  <c r="O7" i="1" s="1"/>
  <c r="G89" i="1"/>
  <c r="O9" i="1" s="1"/>
  <c r="G94" i="1"/>
  <c r="O10" i="1" s="1"/>
  <c r="H66" i="1"/>
  <c r="BK10" i="7"/>
  <c r="BL9" i="7"/>
  <c r="BK11" i="7"/>
  <c r="BL29" i="7" l="1"/>
  <c r="BL40" i="7"/>
  <c r="BL37" i="7"/>
  <c r="BL38" i="7"/>
  <c r="BL34" i="7"/>
  <c r="BL39" i="7"/>
  <c r="BL36" i="7"/>
  <c r="BL32" i="7"/>
  <c r="BL35" i="7"/>
  <c r="BL33" i="7"/>
  <c r="BL28" i="7"/>
  <c r="BL27" i="7"/>
  <c r="BL26" i="7"/>
  <c r="BL24" i="7"/>
  <c r="BL23" i="7"/>
  <c r="BL20" i="7"/>
  <c r="BL16" i="7"/>
  <c r="BL25" i="7"/>
  <c r="BL21" i="7"/>
  <c r="BL17" i="7"/>
  <c r="BL22" i="7"/>
  <c r="BL18" i="7"/>
  <c r="BL14" i="7"/>
  <c r="BL15" i="7"/>
  <c r="BL13" i="7"/>
  <c r="BL12" i="7"/>
  <c r="BL19" i="7"/>
  <c r="BL31" i="7"/>
  <c r="BL10" i="7"/>
  <c r="BL11" i="7"/>
  <c r="BM9" i="7"/>
  <c r="BM29" i="7" l="1"/>
  <c r="BM38" i="7"/>
  <c r="BM39" i="7"/>
  <c r="BM35" i="7"/>
  <c r="BM36" i="7"/>
  <c r="BM40" i="7"/>
  <c r="BM37" i="7"/>
  <c r="BM32" i="7"/>
  <c r="BM27" i="7"/>
  <c r="BM33" i="7"/>
  <c r="BM31" i="7"/>
  <c r="BM23" i="7"/>
  <c r="BM24" i="7"/>
  <c r="BM34" i="7"/>
  <c r="BM25" i="7"/>
  <c r="BM21" i="7"/>
  <c r="BM17" i="7"/>
  <c r="BM13" i="7"/>
  <c r="BM22" i="7"/>
  <c r="BM18" i="7"/>
  <c r="BM14" i="7"/>
  <c r="BM28" i="7"/>
  <c r="BM26" i="7"/>
  <c r="BM19" i="7"/>
  <c r="BM15" i="7"/>
  <c r="BM20" i="7"/>
  <c r="BM12" i="7"/>
  <c r="BM16" i="7"/>
  <c r="BM10" i="7"/>
  <c r="BM11" i="7"/>
  <c r="BN9" i="7"/>
  <c r="BN29" i="7" l="1"/>
  <c r="BN39" i="7"/>
  <c r="BN35" i="7"/>
  <c r="BN36" i="7"/>
  <c r="BN40" i="7"/>
  <c r="BN37" i="7"/>
  <c r="BN38" i="7"/>
  <c r="BN33" i="7"/>
  <c r="BN28" i="7"/>
  <c r="BN31" i="7"/>
  <c r="BN34" i="7"/>
  <c r="BN24" i="7"/>
  <c r="BN32" i="7"/>
  <c r="BN25" i="7"/>
  <c r="BN26" i="7"/>
  <c r="BN22" i="7"/>
  <c r="BN18" i="7"/>
  <c r="BN14" i="7"/>
  <c r="BN19" i="7"/>
  <c r="BN15" i="7"/>
  <c r="BN20" i="7"/>
  <c r="BN16" i="7"/>
  <c r="BN12" i="7"/>
  <c r="BN13" i="7"/>
  <c r="BN27" i="7"/>
  <c r="BN21" i="7"/>
  <c r="BN23" i="7"/>
  <c r="BN17" i="7"/>
  <c r="BN11" i="7"/>
  <c r="BO9" i="7"/>
  <c r="BN10" i="7"/>
  <c r="BO29" i="7" l="1"/>
  <c r="BO36" i="7"/>
  <c r="BO40" i="7"/>
  <c r="BO37" i="7"/>
  <c r="BO38" i="7"/>
  <c r="BO39" i="7"/>
  <c r="BO35" i="7"/>
  <c r="BO31" i="7"/>
  <c r="BO34" i="7"/>
  <c r="BO32" i="7"/>
  <c r="BO27" i="7"/>
  <c r="BO25" i="7"/>
  <c r="BO33" i="7"/>
  <c r="BO26" i="7"/>
  <c r="BO28" i="7"/>
  <c r="BO24" i="7"/>
  <c r="BO19" i="7"/>
  <c r="BO15" i="7"/>
  <c r="BO20" i="7"/>
  <c r="BO16" i="7"/>
  <c r="BO23" i="7"/>
  <c r="BO21" i="7"/>
  <c r="BO17" i="7"/>
  <c r="BO13" i="7"/>
  <c r="BO12" i="7"/>
  <c r="BO22" i="7"/>
  <c r="BO18" i="7"/>
  <c r="BO14" i="7"/>
  <c r="BO10" i="7"/>
  <c r="BO11" i="7"/>
  <c r="BP9" i="7"/>
  <c r="BP29" i="7" l="1"/>
  <c r="BP40" i="7"/>
  <c r="BP37" i="7"/>
  <c r="BP38" i="7"/>
  <c r="BP34" i="7"/>
  <c r="BP39" i="7"/>
  <c r="BP36" i="7"/>
  <c r="BP35" i="7"/>
  <c r="BP32" i="7"/>
  <c r="BP33" i="7"/>
  <c r="BP28" i="7"/>
  <c r="BP26" i="7"/>
  <c r="BP31" i="7"/>
  <c r="BP27" i="7"/>
  <c r="BP24" i="7"/>
  <c r="BP25" i="7"/>
  <c r="BP20" i="7"/>
  <c r="BP16" i="7"/>
  <c r="BP23" i="7"/>
  <c r="BP21" i="7"/>
  <c r="BP17" i="7"/>
  <c r="BP22" i="7"/>
  <c r="BP18" i="7"/>
  <c r="BP14" i="7"/>
  <c r="BP13" i="7"/>
  <c r="BP19" i="7"/>
  <c r="BP15" i="7"/>
  <c r="BP12" i="7"/>
  <c r="BP10" i="7"/>
  <c r="BP11" i="7"/>
  <c r="BQ9" i="7"/>
  <c r="BQ29" i="7" l="1"/>
  <c r="BQ38" i="7"/>
  <c r="BQ39" i="7"/>
  <c r="BQ35" i="7"/>
  <c r="BQ36" i="7"/>
  <c r="BQ40" i="7"/>
  <c r="BQ37" i="7"/>
  <c r="BQ34" i="7"/>
  <c r="BQ32" i="7"/>
  <c r="BQ27" i="7"/>
  <c r="BQ33" i="7"/>
  <c r="BQ31" i="7"/>
  <c r="BQ23" i="7"/>
  <c r="BQ28" i="7"/>
  <c r="BQ24" i="7"/>
  <c r="BQ25" i="7"/>
  <c r="BQ21" i="7"/>
  <c r="BQ17" i="7"/>
  <c r="BQ13" i="7"/>
  <c r="BQ26" i="7"/>
  <c r="BQ22" i="7"/>
  <c r="BQ18" i="7"/>
  <c r="BQ14" i="7"/>
  <c r="BQ19" i="7"/>
  <c r="BQ15" i="7"/>
  <c r="BQ16" i="7"/>
  <c r="BQ12" i="7"/>
  <c r="BQ20" i="7"/>
  <c r="BQ10" i="7"/>
  <c r="BQ11" i="7"/>
  <c r="BR9" i="7"/>
  <c r="BR29" i="7" l="1"/>
  <c r="BR39" i="7"/>
  <c r="BR35" i="7"/>
  <c r="BR36" i="7"/>
  <c r="BR40" i="7"/>
  <c r="BR37" i="7"/>
  <c r="BR38" i="7"/>
  <c r="BR34" i="7"/>
  <c r="BR33" i="7"/>
  <c r="BR28" i="7"/>
  <c r="BR31" i="7"/>
  <c r="BR32" i="7"/>
  <c r="BR24" i="7"/>
  <c r="BR27" i="7"/>
  <c r="BR25" i="7"/>
  <c r="BR26" i="7"/>
  <c r="BR23" i="7"/>
  <c r="BR22" i="7"/>
  <c r="BR18" i="7"/>
  <c r="BR14" i="7"/>
  <c r="BR19" i="7"/>
  <c r="BR15" i="7"/>
  <c r="BR20" i="7"/>
  <c r="BR16" i="7"/>
  <c r="BR12" i="7"/>
  <c r="BR21" i="7"/>
  <c r="BR17" i="7"/>
  <c r="BR13" i="7"/>
  <c r="BR11" i="7"/>
  <c r="BS9" i="7"/>
  <c r="BR10" i="7"/>
  <c r="BS29" i="7" l="1"/>
  <c r="BS36" i="7"/>
  <c r="BS40" i="7"/>
  <c r="BS37" i="7"/>
  <c r="BS38" i="7"/>
  <c r="BS39" i="7"/>
  <c r="BS35" i="7"/>
  <c r="BS31" i="7"/>
  <c r="BS32" i="7"/>
  <c r="BS27" i="7"/>
  <c r="BS33" i="7"/>
  <c r="BS28" i="7"/>
  <c r="BS25" i="7"/>
  <c r="BS22" i="7"/>
  <c r="BS34" i="7"/>
  <c r="BS26" i="7"/>
  <c r="BS19" i="7"/>
  <c r="BS15" i="7"/>
  <c r="BS20" i="7"/>
  <c r="BS16" i="7"/>
  <c r="BS21" i="7"/>
  <c r="BS17" i="7"/>
  <c r="BS13" i="7"/>
  <c r="BS23" i="7"/>
  <c r="BS18" i="7"/>
  <c r="BS12" i="7"/>
  <c r="BS24" i="7"/>
  <c r="BS14" i="7"/>
  <c r="BS10" i="7"/>
  <c r="BT9" i="7"/>
  <c r="BS11" i="7"/>
  <c r="BT29" i="7" l="1"/>
  <c r="BT40" i="7"/>
  <c r="BT37" i="7"/>
  <c r="BT38" i="7"/>
  <c r="BT34" i="7"/>
  <c r="BT39" i="7"/>
  <c r="BT36" i="7"/>
  <c r="BT35" i="7"/>
  <c r="BT32" i="7"/>
  <c r="BT33" i="7"/>
  <c r="BT28" i="7"/>
  <c r="BT27" i="7"/>
  <c r="BT26" i="7"/>
  <c r="BT31" i="7"/>
  <c r="BT24" i="7"/>
  <c r="BT20" i="7"/>
  <c r="BT16" i="7"/>
  <c r="BT21" i="7"/>
  <c r="BT17" i="7"/>
  <c r="BT23" i="7"/>
  <c r="BT18" i="7"/>
  <c r="BT14" i="7"/>
  <c r="BT22" i="7"/>
  <c r="BT12" i="7"/>
  <c r="BT13" i="7"/>
  <c r="BT19" i="7"/>
  <c r="BT25" i="7"/>
  <c r="BT15" i="7"/>
  <c r="BT10" i="7"/>
  <c r="BT11" i="7"/>
  <c r="BU9" i="7"/>
  <c r="BU29" i="7" l="1"/>
  <c r="BU38" i="7"/>
  <c r="BU39" i="7"/>
  <c r="BU35" i="7"/>
  <c r="BU36" i="7"/>
  <c r="BU40" i="7"/>
  <c r="BU37" i="7"/>
  <c r="BU32" i="7"/>
  <c r="BU27" i="7"/>
  <c r="BU33" i="7"/>
  <c r="BU34" i="7"/>
  <c r="BU31" i="7"/>
  <c r="BU23" i="7"/>
  <c r="BU24" i="7"/>
  <c r="BU25" i="7"/>
  <c r="BU26" i="7"/>
  <c r="BU21" i="7"/>
  <c r="BU17" i="7"/>
  <c r="BU13" i="7"/>
  <c r="BU28" i="7"/>
  <c r="BU18" i="7"/>
  <c r="BU14" i="7"/>
  <c r="BU22" i="7"/>
  <c r="BU19" i="7"/>
  <c r="BU15" i="7"/>
  <c r="BU12" i="7"/>
  <c r="BU20" i="7"/>
  <c r="BU16" i="7"/>
  <c r="BU10" i="7"/>
  <c r="BU11" i="7"/>
  <c r="BV9" i="7"/>
  <c r="BV29" i="7" l="1"/>
  <c r="BV39" i="7"/>
  <c r="BV35" i="7"/>
  <c r="BV36" i="7"/>
  <c r="BV40" i="7"/>
  <c r="BV37" i="7"/>
  <c r="BV38" i="7"/>
  <c r="BV34" i="7"/>
  <c r="BV33" i="7"/>
  <c r="BV28" i="7"/>
  <c r="BV31" i="7"/>
  <c r="BV24" i="7"/>
  <c r="BV25" i="7"/>
  <c r="BV26" i="7"/>
  <c r="BV18" i="7"/>
  <c r="BV14" i="7"/>
  <c r="BV23" i="7"/>
  <c r="BV22" i="7"/>
  <c r="BV19" i="7"/>
  <c r="BV15" i="7"/>
  <c r="BV32" i="7"/>
  <c r="BV27" i="7"/>
  <c r="BV20" i="7"/>
  <c r="BV16" i="7"/>
  <c r="BV12" i="7"/>
  <c r="BV17" i="7"/>
  <c r="BV13" i="7"/>
  <c r="BV21" i="7"/>
  <c r="BV11" i="7"/>
  <c r="BW9" i="7"/>
  <c r="BV10" i="7"/>
  <c r="BW29" i="7" l="1"/>
  <c r="BW36" i="7"/>
  <c r="BW40" i="7"/>
  <c r="BW37" i="7"/>
  <c r="BW38" i="7"/>
  <c r="BW39" i="7"/>
  <c r="BW35" i="7"/>
  <c r="BW31" i="7"/>
  <c r="BW34" i="7"/>
  <c r="BW32" i="7"/>
  <c r="BW27" i="7"/>
  <c r="BW25" i="7"/>
  <c r="BW22" i="7"/>
  <c r="BW26" i="7"/>
  <c r="BW28" i="7"/>
  <c r="BW23" i="7"/>
  <c r="BW19" i="7"/>
  <c r="BW15" i="7"/>
  <c r="BW33" i="7"/>
  <c r="BW20" i="7"/>
  <c r="BW16" i="7"/>
  <c r="BW24" i="7"/>
  <c r="BW21" i="7"/>
  <c r="BW17" i="7"/>
  <c r="BW13" i="7"/>
  <c r="BW18" i="7"/>
  <c r="BW14" i="7"/>
  <c r="BW12" i="7"/>
  <c r="BW10" i="7"/>
  <c r="BW11" i="7"/>
  <c r="BX9" i="7"/>
  <c r="BX29" i="7" l="1"/>
  <c r="BX40" i="7"/>
  <c r="BX37" i="7"/>
  <c r="BX38" i="7"/>
  <c r="BX34" i="7"/>
  <c r="BX39" i="7"/>
  <c r="BX36" i="7"/>
  <c r="BX32" i="7"/>
  <c r="BX33" i="7"/>
  <c r="BX28" i="7"/>
  <c r="BX31" i="7"/>
  <c r="BX26" i="7"/>
  <c r="BX27" i="7"/>
  <c r="BX24" i="7"/>
  <c r="BX22" i="7"/>
  <c r="BX20" i="7"/>
  <c r="BX16" i="7"/>
  <c r="BX21" i="7"/>
  <c r="BX17" i="7"/>
  <c r="BX35" i="7"/>
  <c r="BX25" i="7"/>
  <c r="BX18" i="7"/>
  <c r="BX14" i="7"/>
  <c r="BX23" i="7"/>
  <c r="BX19" i="7"/>
  <c r="BX12" i="7"/>
  <c r="BX13" i="7"/>
  <c r="BX15" i="7"/>
  <c r="BX10" i="7"/>
  <c r="BX11" i="7"/>
  <c r="BY9" i="7"/>
  <c r="BY29" i="7" l="1"/>
  <c r="BY38" i="7"/>
  <c r="BY39" i="7"/>
  <c r="BY35" i="7"/>
  <c r="BY36" i="7"/>
  <c r="BY40" i="7"/>
  <c r="BY37" i="7"/>
  <c r="BY34" i="7"/>
  <c r="BY32" i="7"/>
  <c r="BY27" i="7"/>
  <c r="BY33" i="7"/>
  <c r="BY31" i="7"/>
  <c r="BY23" i="7"/>
  <c r="BY28" i="7"/>
  <c r="BY24" i="7"/>
  <c r="BY25" i="7"/>
  <c r="BY21" i="7"/>
  <c r="BY17" i="7"/>
  <c r="BY13" i="7"/>
  <c r="BY18" i="7"/>
  <c r="BY14" i="7"/>
  <c r="BY19" i="7"/>
  <c r="BY15" i="7"/>
  <c r="BY12" i="7"/>
  <c r="BY26" i="7"/>
  <c r="BY20" i="7"/>
  <c r="BY16" i="7"/>
  <c r="BY22" i="7"/>
  <c r="BY10" i="7"/>
  <c r="BY11" i="7"/>
  <c r="BZ9" i="7"/>
  <c r="BZ29" i="7" l="1"/>
  <c r="BZ39" i="7"/>
  <c r="BZ35" i="7"/>
  <c r="BZ36" i="7"/>
  <c r="BZ40" i="7"/>
  <c r="BZ37" i="7"/>
  <c r="BZ38" i="7"/>
  <c r="BZ34" i="7"/>
  <c r="BZ33" i="7"/>
  <c r="BZ28" i="7"/>
  <c r="BZ31" i="7"/>
  <c r="BZ26" i="7"/>
  <c r="BZ24" i="7"/>
  <c r="BZ27" i="7"/>
  <c r="BZ25" i="7"/>
  <c r="BZ32" i="7"/>
  <c r="BZ18" i="7"/>
  <c r="BZ14" i="7"/>
  <c r="BZ19" i="7"/>
  <c r="BZ15" i="7"/>
  <c r="BZ23" i="7"/>
  <c r="BZ22" i="7"/>
  <c r="BZ20" i="7"/>
  <c r="BZ16" i="7"/>
  <c r="BZ12" i="7"/>
  <c r="BZ17" i="7"/>
  <c r="BZ21" i="7"/>
  <c r="BZ13" i="7"/>
  <c r="BZ11" i="7"/>
  <c r="CA9" i="7"/>
  <c r="BZ10" i="7"/>
  <c r="CA29" i="7" l="1"/>
  <c r="CA36" i="7"/>
  <c r="CA40" i="7"/>
  <c r="CA37" i="7"/>
  <c r="CA38" i="7"/>
  <c r="CA39" i="7"/>
  <c r="CA35" i="7"/>
  <c r="CA31" i="7"/>
  <c r="CA32" i="7"/>
  <c r="CA27" i="7"/>
  <c r="CA34" i="7"/>
  <c r="CA28" i="7"/>
  <c r="CA25" i="7"/>
  <c r="CA22" i="7"/>
  <c r="CA33" i="7"/>
  <c r="CA26" i="7"/>
  <c r="CA19" i="7"/>
  <c r="CA15" i="7"/>
  <c r="CA24" i="7"/>
  <c r="CA23" i="7"/>
  <c r="CA20" i="7"/>
  <c r="CA16" i="7"/>
  <c r="CA21" i="7"/>
  <c r="CA17" i="7"/>
  <c r="CA13" i="7"/>
  <c r="CA14" i="7"/>
  <c r="CA12" i="7"/>
  <c r="CA18" i="7"/>
  <c r="CA10" i="7"/>
  <c r="CB9" i="7"/>
  <c r="CA11" i="7"/>
  <c r="CB29" i="7" l="1"/>
  <c r="CB40" i="7"/>
  <c r="CB37" i="7"/>
  <c r="CB38" i="7"/>
  <c r="CB34" i="7"/>
  <c r="CB39" i="7"/>
  <c r="CB36" i="7"/>
  <c r="CB32" i="7"/>
  <c r="CB35" i="7"/>
  <c r="CB33" i="7"/>
  <c r="CB28" i="7"/>
  <c r="CB27" i="7"/>
  <c r="CB26" i="7"/>
  <c r="CB24" i="7"/>
  <c r="CB23" i="7"/>
  <c r="CB20" i="7"/>
  <c r="CB16" i="7"/>
  <c r="CB25" i="7"/>
  <c r="CB22" i="7"/>
  <c r="CB21" i="7"/>
  <c r="CB17" i="7"/>
  <c r="CB31" i="7"/>
  <c r="CB18" i="7"/>
  <c r="CB14" i="7"/>
  <c r="CB15" i="7"/>
  <c r="CB12" i="7"/>
  <c r="CB13" i="7"/>
  <c r="CB19" i="7"/>
  <c r="CB10" i="7"/>
  <c r="CB11" i="7"/>
  <c r="CC9" i="7"/>
  <c r="CC29" i="7" l="1"/>
  <c r="CC38" i="7"/>
  <c r="CC39" i="7"/>
  <c r="CC35" i="7"/>
  <c r="CC36" i="7"/>
  <c r="CC40" i="7"/>
  <c r="CC37" i="7"/>
  <c r="CC32" i="7"/>
  <c r="CC27" i="7"/>
  <c r="CC33" i="7"/>
  <c r="CC34" i="7"/>
  <c r="CC31" i="7"/>
  <c r="CC26" i="7"/>
  <c r="CC23" i="7"/>
  <c r="CC24" i="7"/>
  <c r="CC25" i="7"/>
  <c r="CC28" i="7"/>
  <c r="CC22" i="7"/>
  <c r="CC21" i="7"/>
  <c r="CC17" i="7"/>
  <c r="CC13" i="7"/>
  <c r="CC18" i="7"/>
  <c r="CC14" i="7"/>
  <c r="CC19" i="7"/>
  <c r="CC15" i="7"/>
  <c r="CC20" i="7"/>
  <c r="CC12" i="7"/>
  <c r="CC16" i="7"/>
  <c r="CC10" i="7"/>
  <c r="CC11" i="7"/>
  <c r="CD9" i="7"/>
  <c r="CD29" i="7" l="1"/>
  <c r="CD39" i="7"/>
  <c r="CD35" i="7"/>
  <c r="CD36" i="7"/>
  <c r="CD40" i="7"/>
  <c r="CD37" i="7"/>
  <c r="CD38" i="7"/>
  <c r="CD34" i="7"/>
  <c r="CD33" i="7"/>
  <c r="CD28" i="7"/>
  <c r="CD31" i="7"/>
  <c r="CD26" i="7"/>
  <c r="CD24" i="7"/>
  <c r="CD32" i="7"/>
  <c r="CD25" i="7"/>
  <c r="CD18" i="7"/>
  <c r="CD14" i="7"/>
  <c r="CD27" i="7"/>
  <c r="CD19" i="7"/>
  <c r="CD15" i="7"/>
  <c r="CD20" i="7"/>
  <c r="CD16" i="7"/>
  <c r="CD12" i="7"/>
  <c r="CD13" i="7"/>
  <c r="CD21" i="7"/>
  <c r="CD22" i="7"/>
  <c r="CD17" i="7"/>
  <c r="CD23" i="7"/>
  <c r="CD11" i="7"/>
  <c r="CE9" i="7"/>
  <c r="CD10" i="7"/>
  <c r="CE29" i="7" l="1"/>
  <c r="CE36" i="7"/>
  <c r="CE40" i="7"/>
  <c r="CE37" i="7"/>
  <c r="CE38" i="7"/>
  <c r="CE39" i="7"/>
  <c r="CE35" i="7"/>
  <c r="CE31" i="7"/>
  <c r="CE34" i="7"/>
  <c r="CE32" i="7"/>
  <c r="CE27" i="7"/>
  <c r="CE25" i="7"/>
  <c r="CE22" i="7"/>
  <c r="CE33" i="7"/>
  <c r="CE28" i="7"/>
  <c r="CE24" i="7"/>
  <c r="CE19" i="7"/>
  <c r="CE15" i="7"/>
  <c r="CE20" i="7"/>
  <c r="CE16" i="7"/>
  <c r="CE26" i="7"/>
  <c r="CE23" i="7"/>
  <c r="CE21" i="7"/>
  <c r="CE17" i="7"/>
  <c r="CE13" i="7"/>
  <c r="CE12" i="7"/>
  <c r="CE18" i="7"/>
  <c r="CE14" i="7"/>
  <c r="CE10" i="7"/>
  <c r="CE11" i="7"/>
</calcChain>
</file>

<file path=xl/comments1.xml><?xml version="1.0" encoding="utf-8"?>
<comments xmlns="http://schemas.openxmlformats.org/spreadsheetml/2006/main">
  <authors>
    <author>User</author>
  </authors>
  <commentList>
    <comment ref="J8" authorId="0" shapeId="0">
      <text>
        <r>
          <rPr>
            <b/>
            <sz val="9"/>
            <color indexed="81"/>
            <rFont val="Tahoma"/>
            <family val="2"/>
            <charset val="204"/>
          </rPr>
          <t>User: в случае несколько изменения спецификации, указыввается дата заказа по каждой позиции</t>
        </r>
        <r>
          <rPr>
            <sz val="9"/>
            <color indexed="81"/>
            <rFont val="Tahoma"/>
            <family val="2"/>
            <charset val="204"/>
          </rPr>
          <t xml:space="preserve">
</t>
        </r>
      </text>
    </comment>
    <comment ref="L45" authorId="0" shapeId="0">
      <text>
        <r>
          <rPr>
            <b/>
            <sz val="9"/>
            <color indexed="81"/>
            <rFont val="Tahoma"/>
            <family val="2"/>
            <charset val="204"/>
          </rPr>
          <t>User:</t>
        </r>
        <r>
          <rPr>
            <sz val="9"/>
            <color indexed="81"/>
            <rFont val="Tahoma"/>
            <family val="2"/>
            <charset val="204"/>
          </rPr>
          <t xml:space="preserve">
(материалы, сырье, комплектующие, без учета услуги субподряда / трудозатратов, маржи, …)</t>
        </r>
      </text>
    </comment>
  </commentList>
</comments>
</file>

<file path=xl/sharedStrings.xml><?xml version="1.0" encoding="utf-8"?>
<sst xmlns="http://schemas.openxmlformats.org/spreadsheetml/2006/main" count="1507" uniqueCount="426">
  <si>
    <t>поз</t>
  </si>
  <si>
    <t>Категория</t>
  </si>
  <si>
    <t>Наименование</t>
  </si>
  <si>
    <t>Ед изм.</t>
  </si>
  <si>
    <t>К-во</t>
  </si>
  <si>
    <t xml:space="preserve">М.п сварки/к-во деталей на уз </t>
  </si>
  <si>
    <t>Норма</t>
  </si>
  <si>
    <t>Время, ч.</t>
  </si>
  <si>
    <t>Ставка</t>
  </si>
  <si>
    <t>К-во узлов</t>
  </si>
  <si>
    <t>Абрис</t>
  </si>
  <si>
    <t>Наименование работ</t>
  </si>
  <si>
    <t>Погрузочно-разгрузочные работы</t>
  </si>
  <si>
    <t>Упаковочные работы</t>
  </si>
  <si>
    <t>Сварочно-сборочные работы</t>
  </si>
  <si>
    <t>Поз</t>
  </si>
  <si>
    <t>СЕБЕСТОИМОСТЬ ТРУДОЗАТРАТ</t>
  </si>
  <si>
    <t>ПОУЗЛОВОЙ РАСЧЕТ СЕБЕСТОИМОСТИ ТРУДОЗАТРАТ</t>
  </si>
  <si>
    <t>СЕБЕСТОИМОСТЬ МАТЕРИАЛОВ И УСЛУГ</t>
  </si>
  <si>
    <t>Цена без НДС</t>
  </si>
  <si>
    <t>Стоимость без НДС</t>
  </si>
  <si>
    <t>Маржа на работу</t>
  </si>
  <si>
    <t>Себестоимость</t>
  </si>
  <si>
    <t>Наценка торговая</t>
  </si>
  <si>
    <t>Цена продажи</t>
  </si>
  <si>
    <t>Сверление</t>
  </si>
  <si>
    <t xml:space="preserve">Распил на ленточной пиле косой рез </t>
  </si>
  <si>
    <t>Мехобработка</t>
  </si>
  <si>
    <t>Гибка труб</t>
  </si>
  <si>
    <t>Поз.</t>
  </si>
  <si>
    <t>Обозначение</t>
  </si>
  <si>
    <t>Кол.</t>
  </si>
  <si>
    <t>Материал</t>
  </si>
  <si>
    <t>Технология</t>
  </si>
  <si>
    <t>Цена врезки по толщине</t>
  </si>
  <si>
    <t>ГИБКА</t>
  </si>
  <si>
    <t>ДА</t>
  </si>
  <si>
    <t>Цена металла</t>
  </si>
  <si>
    <t>НЕТ</t>
  </si>
  <si>
    <t>руб/кг</t>
  </si>
  <si>
    <t>Плотность</t>
  </si>
  <si>
    <t>Толщина металла:</t>
  </si>
  <si>
    <t>Цена врезки:</t>
  </si>
  <si>
    <t>08 ПС ХК</t>
  </si>
  <si>
    <t>Матовый</t>
  </si>
  <si>
    <t>ст.3 ГК</t>
  </si>
  <si>
    <t>Муар</t>
  </si>
  <si>
    <t>09Г2С</t>
  </si>
  <si>
    <t>Глянец</t>
  </si>
  <si>
    <t>Оцинковка</t>
  </si>
  <si>
    <t>Шагрень</t>
  </si>
  <si>
    <t>Аллюминий</t>
  </si>
  <si>
    <t>Нержавейка</t>
  </si>
  <si>
    <t>Собственный</t>
  </si>
  <si>
    <t>Спец</t>
  </si>
  <si>
    <t>Давальческий</t>
  </si>
  <si>
    <t>Цена резки за м.п. по толщине</t>
  </si>
  <si>
    <t>Масса кг</t>
  </si>
  <si>
    <t>наценка проц.</t>
  </si>
  <si>
    <t>на отходы проц</t>
  </si>
  <si>
    <t xml:space="preserve">Цена 1 изделия </t>
  </si>
  <si>
    <t>к-во</t>
  </si>
  <si>
    <t>Итого</t>
  </si>
  <si>
    <t>Сварка</t>
  </si>
  <si>
    <t>цена без НДС</t>
  </si>
  <si>
    <t>Обрезка</t>
  </si>
  <si>
    <t>Периметр</t>
  </si>
  <si>
    <t>Обозначение и наименование сетки</t>
  </si>
  <si>
    <t>мат</t>
  </si>
  <si>
    <t>услуга</t>
  </si>
  <si>
    <t>Итог</t>
  </si>
  <si>
    <t>Внешний вид</t>
  </si>
  <si>
    <t>Технологические габариты ДхШхВ, мм</t>
  </si>
  <si>
    <t>Внешние габариты, ДхШхВ, мм</t>
  </si>
  <si>
    <t>Масса, кг</t>
  </si>
  <si>
    <t>Тип покрытия</t>
  </si>
  <si>
    <t>RAL</t>
  </si>
  <si>
    <t>Описание</t>
  </si>
  <si>
    <t>К-во в фуре</t>
  </si>
  <si>
    <t>Серия</t>
  </si>
  <si>
    <t>Сварка сетки</t>
  </si>
  <si>
    <t>ПРОЕКТ</t>
  </si>
  <si>
    <t>Услуга</t>
  </si>
  <si>
    <t>Лазер</t>
  </si>
  <si>
    <t>Сгибы</t>
  </si>
  <si>
    <t>Сталь 08пс ГОСТ 535-88</t>
  </si>
  <si>
    <t>Ст 3 ГОСТ 14637-2015</t>
  </si>
  <si>
    <t>Сталь ОЦ 08пс ГОСТ 535-88</t>
  </si>
  <si>
    <t>09Г2С ГОСТ19281-2014</t>
  </si>
  <si>
    <t>Д16Т ГОСТ 4784-97</t>
  </si>
  <si>
    <t>Амг</t>
  </si>
  <si>
    <t>AISI 304</t>
  </si>
  <si>
    <t>Врезки</t>
  </si>
  <si>
    <t>Цена материала, руб с НДС/кг</t>
  </si>
  <si>
    <t>Периметр -
Внешний, мм</t>
  </si>
  <si>
    <t>Периметр -
Внутренний, мм</t>
  </si>
  <si>
    <t>Толщина, мм</t>
  </si>
  <si>
    <t>Кол., шт</t>
  </si>
  <si>
    <t>Стоимость материала, руб с НДС</t>
  </si>
  <si>
    <t>Стоимость гибки, руб с НДС</t>
  </si>
  <si>
    <t>Стоимость 
резки, руб с НДС</t>
  </si>
  <si>
    <t>Стоимость 1 
детали, руб с НДС</t>
  </si>
  <si>
    <t>Стоимость 
комплекта, руб с НДС</t>
  </si>
  <si>
    <t>Стоимость 
комплекта, руб без НДС</t>
  </si>
  <si>
    <t>Цена гибки, руб с НДС/сгиб</t>
  </si>
  <si>
    <t>Цена врезки, руб с НДС/врезка</t>
  </si>
  <si>
    <t>Цена резки, руб с НДС/м</t>
  </si>
  <si>
    <t>Цена материала</t>
  </si>
  <si>
    <t>Стоимость 
Фрезеровки, руб без НДС</t>
  </si>
  <si>
    <t>Стоимость 
материала, руб безНДС</t>
  </si>
  <si>
    <t>Общая масса, кг</t>
  </si>
  <si>
    <t>Фрезеровка</t>
  </si>
  <si>
    <t>Покрасочые работы</t>
  </si>
  <si>
    <t>Длина, м</t>
  </si>
  <si>
    <t>Ширина, м</t>
  </si>
  <si>
    <t>Площадь, м.кв</t>
  </si>
  <si>
    <t>Код проекта:</t>
  </si>
  <si>
    <t>ТИП СПЕЦИФИКАЦИЯ</t>
  </si>
  <si>
    <t>ОСНОВНАЯ</t>
  </si>
  <si>
    <t>заполняется Менеджеро Проекта</t>
  </si>
  <si>
    <t>ЕТО</t>
  </si>
  <si>
    <t>отгрузка</t>
  </si>
  <si>
    <t>Наименование проекта:</t>
  </si>
  <si>
    <t>Дата выдачи спецификации:</t>
  </si>
  <si>
    <t>заполняется Снабженца</t>
  </si>
  <si>
    <t>Дата отгрузки проекта</t>
  </si>
  <si>
    <t>заполняется Нач. Склада</t>
  </si>
  <si>
    <t>СПЕЦИФИКАЦИЯ ПРОЕКТА</t>
  </si>
  <si>
    <t xml:space="preserve">ПЛАН ЗАКУПОК </t>
  </si>
  <si>
    <t>( автоматическое заполнение )</t>
  </si>
  <si>
    <t>ПОЛУЧЕНО</t>
  </si>
  <si>
    <t>%</t>
  </si>
  <si>
    <t>№</t>
  </si>
  <si>
    <t>Обозначение детали или наименование материала/ресурса</t>
  </si>
  <si>
    <t>Наименование детали</t>
  </si>
  <si>
    <t>Единица измерения</t>
  </si>
  <si>
    <t>Кол на 1 компл</t>
  </si>
  <si>
    <t>Кол компл</t>
  </si>
  <si>
    <t>Общее кол</t>
  </si>
  <si>
    <t>желаемый срок получения</t>
  </si>
  <si>
    <t>Крайный Срок (КС)</t>
  </si>
  <si>
    <t xml:space="preserve">Дата Заказа позиция </t>
  </si>
  <si>
    <t>Примечание</t>
  </si>
  <si>
    <t>Планируемый Срок получение (ПС)</t>
  </si>
  <si>
    <t>Отметка о получении №4</t>
  </si>
  <si>
    <t>Отметка о получении №3</t>
  </si>
  <si>
    <t>Отметка о получении №2</t>
  </si>
  <si>
    <t>Отметка о получении №1</t>
  </si>
  <si>
    <t>Дата получения / количество</t>
  </si>
  <si>
    <t>Дата</t>
  </si>
  <si>
    <t>Поставщик</t>
  </si>
  <si>
    <t>№ тн</t>
  </si>
  <si>
    <t>КОЛ.</t>
  </si>
  <si>
    <t>ИТОГО</t>
  </si>
  <si>
    <t>Лазерный труборез</t>
  </si>
  <si>
    <t>ЧПУ гибка прутка</t>
  </si>
  <si>
    <t>Гальваническое покрытие</t>
  </si>
  <si>
    <r>
      <t>От кого :</t>
    </r>
    <r>
      <rPr>
        <u/>
        <sz val="12"/>
        <rFont val="Arial"/>
        <family val="2"/>
        <charset val="204"/>
      </rPr>
      <t xml:space="preserve">                 </t>
    </r>
    <r>
      <rPr>
        <sz val="8"/>
        <color theme="1"/>
        <rFont val="Calibri"/>
        <family val="2"/>
        <charset val="204"/>
        <scheme val="minor"/>
      </rPr>
      <t>__________________________________</t>
    </r>
  </si>
  <si>
    <t>БЮДЖЕТ</t>
  </si>
  <si>
    <t>ПРОТОТИП</t>
  </si>
  <si>
    <t>Эти расходы входят в бюджет</t>
  </si>
  <si>
    <t>ПРЕДВАРИТЕЛЬНАЯ</t>
  </si>
  <si>
    <r>
      <t xml:space="preserve">Технический Директор   </t>
    </r>
    <r>
      <rPr>
        <sz val="8"/>
        <color theme="1"/>
        <rFont val="Calibri"/>
        <family val="2"/>
        <charset val="204"/>
        <scheme val="minor"/>
      </rPr>
      <t>________________</t>
    </r>
  </si>
  <si>
    <t xml:space="preserve">Указывать остаток бюджета по затратную часть </t>
  </si>
  <si>
    <t>ДОЗАКАЗ</t>
  </si>
  <si>
    <r>
      <t>Дата получения спецификации в "Отделе снабжения":</t>
    </r>
    <r>
      <rPr>
        <sz val="8"/>
        <color theme="1"/>
        <rFont val="Calibri"/>
        <family val="2"/>
        <charset val="204"/>
        <scheme val="minor"/>
      </rPr>
      <t>_______________________</t>
    </r>
  </si>
  <si>
    <t>ИЗМЕНЕНИЯ</t>
  </si>
  <si>
    <t>Если нет, то на сколько ориентировочно)</t>
  </si>
  <si>
    <t>Дата АВТОРИЗАЦИЯ В ФИНАНС. ОТДЕЛЕ + подпись</t>
  </si>
  <si>
    <t>Запрещается составить новые (несколько спецификации, допускается только обновлении.</t>
  </si>
  <si>
    <t>(предоставить к спецификацию запольненная смета по факту)</t>
  </si>
  <si>
    <t>NB : информации по бюджетов не заполняются для прототипов / предварительнных спецификации</t>
  </si>
  <si>
    <t>Крепеж</t>
  </si>
  <si>
    <t>Услуги</t>
  </si>
  <si>
    <t>ЧПУ фрезеровка</t>
  </si>
  <si>
    <t>Материальная часть</t>
  </si>
  <si>
    <t>кг мат</t>
  </si>
  <si>
    <t>Ratio S/M</t>
  </si>
  <si>
    <t>(норма 200-350)</t>
  </si>
  <si>
    <t>Общее время на узел, ч</t>
  </si>
  <si>
    <t>Общая цена узла без НДС</t>
  </si>
  <si>
    <t>Мехобработка субподряд</t>
  </si>
  <si>
    <t>Наклейка</t>
  </si>
  <si>
    <t>Навивка пружин</t>
  </si>
  <si>
    <t>с НДС</t>
  </si>
  <si>
    <t>Итого материалы и услуги</t>
  </si>
  <si>
    <t>Структура цены</t>
  </si>
  <si>
    <t>Трудозатраты</t>
  </si>
  <si>
    <t>Е14</t>
  </si>
  <si>
    <t>услуги субподрядчиков (сторонние организации)</t>
  </si>
  <si>
    <t>Е11</t>
  </si>
  <si>
    <t>материалы и комплектующие (прямые расходы для заказов)</t>
  </si>
  <si>
    <t>Расходы на снабжение</t>
  </si>
  <si>
    <t>Ж12</t>
  </si>
  <si>
    <t>Ж13</t>
  </si>
  <si>
    <t>изготовление оснастки - приспособления для производства</t>
  </si>
  <si>
    <t>расх.материалы для производства, оснастка, спец.одежда и СИЗ</t>
  </si>
  <si>
    <t>Е12</t>
  </si>
  <si>
    <t>расходы на покупку материалов (транспорт от поставщика до предприятия)</t>
  </si>
  <si>
    <t>ФОТ ИТР и конструкторов</t>
  </si>
  <si>
    <t>ФОТ рабочих оклад</t>
  </si>
  <si>
    <t>ФОТ рабочих сделка</t>
  </si>
  <si>
    <t>А1</t>
  </si>
  <si>
    <t>А21</t>
  </si>
  <si>
    <t>А23</t>
  </si>
  <si>
    <t>А24</t>
  </si>
  <si>
    <t>Г11</t>
  </si>
  <si>
    <t>Обслуживание погрузчика и автотранспорта</t>
  </si>
  <si>
    <t>Д11</t>
  </si>
  <si>
    <t>Электричество</t>
  </si>
  <si>
    <t>Д13</t>
  </si>
  <si>
    <t>топливо, ГСМ (бензин, ДТ, автомобильные масла и смазки)</t>
  </si>
  <si>
    <t>Отопление</t>
  </si>
  <si>
    <t>расходы на отгрузку продукции (доставка до Заказчика)</t>
  </si>
  <si>
    <t>Д12</t>
  </si>
  <si>
    <t>Е13</t>
  </si>
  <si>
    <t>Ж11</t>
  </si>
  <si>
    <t>покупка инструмента / мелкое оборуд. (стоим.&lt;100т.р., &gt;5т.р.)</t>
  </si>
  <si>
    <t>расходы на изготовление образцов для заказчиков</t>
  </si>
  <si>
    <t>Ж14</t>
  </si>
  <si>
    <t>Приобретение станков, активов - ОС (стоим. &gt;100 т.р. или 12 мес.)</t>
  </si>
  <si>
    <t>З11</t>
  </si>
  <si>
    <t>А4</t>
  </si>
  <si>
    <t>Налог на прибыль и добавленную стоимость</t>
  </si>
  <si>
    <t>А3</t>
  </si>
  <si>
    <t>Долги перед банками и лизинг</t>
  </si>
  <si>
    <t xml:space="preserve">ФОТ АУП </t>
  </si>
  <si>
    <t>А22</t>
  </si>
  <si>
    <t>А25</t>
  </si>
  <si>
    <t>Соц.налог и выплаты</t>
  </si>
  <si>
    <t>Аренда</t>
  </si>
  <si>
    <t>В1</t>
  </si>
  <si>
    <t>Реклама и маркетинг</t>
  </si>
  <si>
    <t>Б1</t>
  </si>
  <si>
    <t>Переменные косвенные расходы (командир., внепроектные, НН)</t>
  </si>
  <si>
    <t>А5</t>
  </si>
  <si>
    <t>Другие ежемесячные расходы (офисные)</t>
  </si>
  <si>
    <t>Нераспределенная прибыль</t>
  </si>
  <si>
    <t>Коммерческий отдел</t>
  </si>
  <si>
    <t>Прибыль учредителей</t>
  </si>
  <si>
    <t>размер фонда</t>
  </si>
  <si>
    <t>получено из сметы</t>
  </si>
  <si>
    <t>Доставка</t>
  </si>
  <si>
    <t>Заготовка</t>
  </si>
  <si>
    <r>
      <t xml:space="preserve">Сечение или </t>
    </r>
    <r>
      <rPr>
        <i/>
        <sz val="12"/>
        <color theme="1"/>
        <rFont val="SWGDT"/>
      </rPr>
      <t xml:space="preserve">
</t>
    </r>
    <r>
      <rPr>
        <i/>
        <sz val="12"/>
        <color theme="1"/>
        <rFont val="Arial"/>
        <family val="2"/>
        <charset val="204"/>
      </rPr>
      <t>толщина</t>
    </r>
  </si>
  <si>
    <t>Длина</t>
  </si>
  <si>
    <r>
      <t xml:space="preserve">/Общая </t>
    </r>
    <r>
      <rPr>
        <i/>
        <sz val="12"/>
        <color theme="1"/>
        <rFont val="SWGDT"/>
      </rPr>
      <t xml:space="preserve">
</t>
    </r>
    <r>
      <rPr>
        <i/>
        <sz val="12"/>
        <color theme="1"/>
        <rFont val="Arial"/>
        <family val="2"/>
        <charset val="204"/>
      </rPr>
      <t>длина</t>
    </r>
  </si>
  <si>
    <t>Масса</t>
  </si>
  <si>
    <r>
      <t xml:space="preserve">/Общая </t>
    </r>
    <r>
      <rPr>
        <i/>
        <sz val="12"/>
        <color theme="1"/>
        <rFont val="SWGDT"/>
      </rPr>
      <t xml:space="preserve">
</t>
    </r>
    <r>
      <rPr>
        <i/>
        <sz val="12"/>
        <color theme="1"/>
        <rFont val="Arial"/>
        <family val="2"/>
        <charset val="204"/>
      </rPr>
      <t>масса</t>
    </r>
  </si>
  <si>
    <t>Площадь</t>
  </si>
  <si>
    <r>
      <t xml:space="preserve">/Общая </t>
    </r>
    <r>
      <rPr>
        <i/>
        <sz val="12"/>
        <color theme="1"/>
        <rFont val="SWGDT"/>
      </rPr>
      <t xml:space="preserve">
</t>
    </r>
    <r>
      <rPr>
        <i/>
        <sz val="12"/>
        <color theme="1"/>
        <rFont val="Arial"/>
        <family val="2"/>
        <charset val="204"/>
      </rPr>
      <t>площадь</t>
    </r>
  </si>
  <si>
    <t>ОТВ</t>
  </si>
  <si>
    <r>
      <t xml:space="preserve">/Общее </t>
    </r>
    <r>
      <rPr>
        <i/>
        <sz val="12"/>
        <color theme="1"/>
        <rFont val="SWGDT"/>
      </rPr>
      <t xml:space="preserve">
</t>
    </r>
    <r>
      <rPr>
        <i/>
        <sz val="12"/>
        <color theme="1"/>
        <rFont val="Arial"/>
        <family val="2"/>
        <charset val="204"/>
      </rPr>
      <t>к-во отв.</t>
    </r>
  </si>
  <si>
    <t>ЧПУ трубогиб</t>
  </si>
  <si>
    <t>Сварка сетки субподряд</t>
  </si>
  <si>
    <t>Кол.проходов</t>
  </si>
  <si>
    <t>Раздел</t>
  </si>
  <si>
    <t>Время МО</t>
  </si>
  <si>
    <t>Косые резы</t>
  </si>
  <si>
    <t>/Общее  к-во косых резов</t>
  </si>
  <si>
    <t>К-во сгибов</t>
  </si>
  <si>
    <t>К-во вырезов</t>
  </si>
  <si>
    <t>Перим. наруж.</t>
  </si>
  <si>
    <t>Перм. внутр.</t>
  </si>
  <si>
    <t>Распил на ленточной пиле прямой рез</t>
  </si>
  <si>
    <t>Цена, руб без НДС</t>
  </si>
  <si>
    <t>Стоимость, руб без НДС</t>
  </si>
  <si>
    <t>Фактическая Итоговая стоимость, руб. без НДС</t>
  </si>
  <si>
    <t>Фактическая стоимость на комплект, руб бех НДС</t>
  </si>
  <si>
    <t>Разница в %</t>
  </si>
  <si>
    <t>Время, затраченное на проект</t>
  </si>
  <si>
    <t>от 1 до 7 шт - стоимость 750 руб/час, 2х трудозатраты
от 8 до 40 -   стоимость 750 руб/час, 1х трудозатраты
от 41 шт -      стоимость 600 руб/час, 1х трудозатраты</t>
  </si>
  <si>
    <t>Изготовление кондукторов</t>
  </si>
  <si>
    <t>Время, часов</t>
  </si>
  <si>
    <t>Ставка, руб</t>
  </si>
  <si>
    <t>Стоимость, руб</t>
  </si>
  <si>
    <t>Время на изготовление кондуктора на комплект, мин</t>
  </si>
  <si>
    <t>DPD28 00.01.103</t>
  </si>
  <si>
    <t>Скоба под погрузчик</t>
  </si>
  <si>
    <t>Детали</t>
  </si>
  <si>
    <t>Полоса</t>
  </si>
  <si>
    <t>40х8</t>
  </si>
  <si>
    <t>Резка+Трубогиб</t>
  </si>
  <si>
    <t>Мех.цех</t>
  </si>
  <si>
    <t>DPD28 00.02.101</t>
  </si>
  <si>
    <t>Стойка</t>
  </si>
  <si>
    <t>Труба</t>
  </si>
  <si>
    <t>40х40х3</t>
  </si>
  <si>
    <t>Резка+Сверл</t>
  </si>
  <si>
    <t>DPD28 00.01.201</t>
  </si>
  <si>
    <t>Корпус  стакана</t>
  </si>
  <si>
    <t>50х50х4</t>
  </si>
  <si>
    <t>DPD28 00.05.001</t>
  </si>
  <si>
    <t>Штырь</t>
  </si>
  <si>
    <t>Круг</t>
  </si>
  <si>
    <t>Сталь 3 ГОСТ 535-88</t>
  </si>
  <si>
    <t>Резка</t>
  </si>
  <si>
    <t>DPD28 00.02.102</t>
  </si>
  <si>
    <t>Перекладина</t>
  </si>
  <si>
    <t>20х20х2</t>
  </si>
  <si>
    <t>DPD28 00.03.101</t>
  </si>
  <si>
    <t>DPD28 00.03.102</t>
  </si>
  <si>
    <t>DPD28 00.04.101</t>
  </si>
  <si>
    <t>DPD28 00.05.101</t>
  </si>
  <si>
    <t>DPD28 00.01.101</t>
  </si>
  <si>
    <t>Продольная балка</t>
  </si>
  <si>
    <t>DPD28 00.01.102</t>
  </si>
  <si>
    <t>Поперечная балка</t>
  </si>
  <si>
    <t>DPD28 00.01.104</t>
  </si>
  <si>
    <t>Перемычка</t>
  </si>
  <si>
    <t>DPD28 00.01.105</t>
  </si>
  <si>
    <t>Ребро жескости</t>
  </si>
  <si>
    <t>DPD28 00.01.106</t>
  </si>
  <si>
    <t>Опора</t>
  </si>
  <si>
    <t>DPD28 00.01.108</t>
  </si>
  <si>
    <t>DPD28 00.01.301</t>
  </si>
  <si>
    <t>DPD28 00.02.103</t>
  </si>
  <si>
    <t>Скоба</t>
  </si>
  <si>
    <t>Лист</t>
  </si>
  <si>
    <t>Л+Г</t>
  </si>
  <si>
    <t>Пром-Лазер</t>
  </si>
  <si>
    <t>DPD28 00.02.104</t>
  </si>
  <si>
    <t>DPD28 00.02.107</t>
  </si>
  <si>
    <t>Ловитель</t>
  </si>
  <si>
    <t>DPD28 00.02.107-01</t>
  </si>
  <si>
    <t>DPD28 00.02.105</t>
  </si>
  <si>
    <t>Заглушка</t>
  </si>
  <si>
    <t>Л</t>
  </si>
  <si>
    <t>DPD28 00.00.001</t>
  </si>
  <si>
    <t>Пластина</t>
  </si>
  <si>
    <t>DPD28 00.01.107</t>
  </si>
  <si>
    <t>Косынка</t>
  </si>
  <si>
    <t>DPD28 00.01.202</t>
  </si>
  <si>
    <t>DPD28 00.01.302</t>
  </si>
  <si>
    <t>Пятка</t>
  </si>
  <si>
    <t>DPD28 00.02.106</t>
  </si>
  <si>
    <t>Платик чашки</t>
  </si>
  <si>
    <t>DPD28 00.03.002</t>
  </si>
  <si>
    <t>Засов</t>
  </si>
  <si>
    <t>DPD28 00.01.001</t>
  </si>
  <si>
    <t>Сетка верхней полки 1940х1140(50х50х4)</t>
  </si>
  <si>
    <t>Проволока</t>
  </si>
  <si>
    <t>КС</t>
  </si>
  <si>
    <t>DPD28 00.02.001</t>
  </si>
  <si>
    <t>Сетка верхней полки 1104х1284(50х50х4)</t>
  </si>
  <si>
    <t>DPD28 00.03.001</t>
  </si>
  <si>
    <t>Сетка верхней полки 1859х593(50х50х4)</t>
  </si>
  <si>
    <t>DPD28 00.04.001</t>
  </si>
  <si>
    <t>Сетка верхней стенки 1859х598(50х50х4)</t>
  </si>
  <si>
    <t>DPD28 00.05.002</t>
  </si>
  <si>
    <t>Сетка верхней стенки 1859х568(50х50х4)</t>
  </si>
  <si>
    <t>Гайка-заклепка М6 hex пот.</t>
  </si>
  <si>
    <t>curved spring lock washer_din</t>
  </si>
  <si>
    <t>Шайба гров. 6 DIN 127</t>
  </si>
  <si>
    <t>hex screw gradeab_din</t>
  </si>
  <si>
    <t>Болт M6 х 20 DIN 933</t>
  </si>
  <si>
    <t>Болт M12 х 80 DIN 933</t>
  </si>
  <si>
    <t>plain washer grade a_din</t>
  </si>
  <si>
    <t>Шайба 6.4 DIN 125</t>
  </si>
  <si>
    <t>Шайба 13 DIN 125</t>
  </si>
  <si>
    <t>prevailing torque nut style 1 insert_din</t>
  </si>
  <si>
    <t>Гайка ск. M12 DIN 7040</t>
  </si>
  <si>
    <t>DPD28 Контейнер металлический сетчатый</t>
  </si>
  <si>
    <t>2000x1200x0</t>
  </si>
  <si>
    <t>2031x1231x1571</t>
  </si>
  <si>
    <t>Краска</t>
  </si>
  <si>
    <t>Разборный контейнер. Грузоподъёмность 2000 кг. Штабелирование в два яруса. Передняя стенка откидывается до середины высоты. Контейнер можно транспортировать вилочным погрузчиком. Штабелируется в два яруса без нагрузки</t>
  </si>
  <si>
    <t>кг.</t>
  </si>
  <si>
    <t>Круг 16</t>
  </si>
  <si>
    <t>м.</t>
  </si>
  <si>
    <t>Полоса 40х8</t>
  </si>
  <si>
    <t>Проволока 4</t>
  </si>
  <si>
    <t>Труба 20х20х2</t>
  </si>
  <si>
    <t>Труба 40х40х3</t>
  </si>
  <si>
    <t>Труба 50х50х4</t>
  </si>
  <si>
    <t>шт.</t>
  </si>
  <si>
    <t>dpd28 00.02.001</t>
  </si>
  <si>
    <t>dpd28 00.02.100-01</t>
  </si>
  <si>
    <t>dpd28 00.02.107-01</t>
  </si>
  <si>
    <t>dpd28 00.02.104</t>
  </si>
  <si>
    <t>dpd28 00.02.102</t>
  </si>
  <si>
    <t>dpd28 00.02.106</t>
  </si>
  <si>
    <t>dpd28 00.02.105</t>
  </si>
  <si>
    <t>dpd28 00.02.107</t>
  </si>
  <si>
    <t>dpd28 00.02.101</t>
  </si>
  <si>
    <t>dpd28 00.02.103</t>
  </si>
  <si>
    <t>dpd28 00.01.100</t>
  </si>
  <si>
    <t>dpd28 00.01.001</t>
  </si>
  <si>
    <t>dpd28 00.01.102</t>
  </si>
  <si>
    <t>dpd28 00.01.104</t>
  </si>
  <si>
    <t>dpd28 00.01.300</t>
  </si>
  <si>
    <t>dpd28 00.01.105</t>
  </si>
  <si>
    <t>dpd28 00.01.101</t>
  </si>
  <si>
    <t>dpd28 00.01.200</t>
  </si>
  <si>
    <t>dpd28 00.01.103</t>
  </si>
  <si>
    <t>dpd28 00.01.106</t>
  </si>
  <si>
    <t>dpd28 00.01.107</t>
  </si>
  <si>
    <t>dpd28 00.01.108</t>
  </si>
  <si>
    <t>dpd28 00.01.302</t>
  </si>
  <si>
    <t>dpd28 00.01.301</t>
  </si>
  <si>
    <t>dpd28 00.01.202</t>
  </si>
  <si>
    <t>dpd28 00.01.201</t>
  </si>
  <si>
    <t>dpd28 00.04.001</t>
  </si>
  <si>
    <t>dpd28 00.03.002</t>
  </si>
  <si>
    <t>dpd28 00.04.100</t>
  </si>
  <si>
    <t>dpd28 00.04.101</t>
  </si>
  <si>
    <t>dpd28 00.03.102</t>
  </si>
  <si>
    <t>dpd28 00.03.001</t>
  </si>
  <si>
    <t>dpd28 00.03.100</t>
  </si>
  <si>
    <t>dpd28 00.03.101</t>
  </si>
  <si>
    <t>dpd28 00.02.100</t>
  </si>
  <si>
    <t>dpd28 00.05.002</t>
  </si>
  <si>
    <t>dpd28 00.05.001</t>
  </si>
  <si>
    <t>dpd28 00.05.100</t>
  </si>
  <si>
    <t>dpd28 00.05.101</t>
  </si>
  <si>
    <t>dpd28 00.02.000-01</t>
  </si>
  <si>
    <t>dpd28 00.01.000</t>
  </si>
  <si>
    <t>dpd28 00.04.000</t>
  </si>
  <si>
    <t>dpd28 00.03.000</t>
  </si>
  <si>
    <t>dpd28 00.00.001</t>
  </si>
  <si>
    <t>dpd28 00.02.000</t>
  </si>
  <si>
    <t>dpd28 00.05.000</t>
  </si>
  <si>
    <t>Металл</t>
  </si>
  <si>
    <t>Краска RAL-7035</t>
  </si>
  <si>
    <t>345</t>
  </si>
  <si>
    <t>Гибка полосы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</si>
</sst>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0\ &quot;₽&quot;"/>
    <numFmt numFmtId="166" formatCode="#,##0.00\ &quot;₽&quot;"/>
    <numFmt numFmtId="167" formatCode="#,##0.0\ &quot;₽&quot;"/>
    <numFmt numFmtId="168" formatCode="0.0%"/>
    <numFmt numFmtId="169" formatCode="#,##0.00000\ &quot;₽&quot;"/>
    <numFmt numFmtId="170" formatCode="[$-F400]h:mm:ss\ AM/PM"/>
  </numFmts>
  <fonts count="39" x14ac:knownFonts="1">
    <font>
      <sz val="8"/>
      <color theme="1"/>
      <name val="Calibri"/>
      <family val="2"/>
      <charset val="204"/>
      <scheme val="minor"/>
    </font>
    <font>
      <sz val="11"/>
      <color theme="1"/>
      <name val="Calibri"/>
      <family val="2"/>
      <charset val="204"/>
      <scheme val="minor"/>
    </font>
    <font>
      <sz val="11"/>
      <color theme="1"/>
      <name val="Calibri"/>
      <family val="2"/>
      <charset val="204"/>
      <scheme val="minor"/>
    </font>
    <font>
      <sz val="12"/>
      <color theme="1"/>
      <name val="Arial"/>
      <family val="2"/>
      <charset val="204"/>
    </font>
    <font>
      <i/>
      <sz val="12"/>
      <color theme="1"/>
      <name val="Arial"/>
      <family val="2"/>
      <charset val="204"/>
    </font>
    <font>
      <sz val="12"/>
      <color theme="1"/>
      <name val="Calibri"/>
      <family val="2"/>
      <charset val="204"/>
      <scheme val="minor"/>
    </font>
    <font>
      <i/>
      <sz val="10"/>
      <color theme="1"/>
      <name val="Arial"/>
      <family val="2"/>
      <charset val="204"/>
    </font>
    <font>
      <b/>
      <sz val="12"/>
      <color theme="1"/>
      <name val="Arial"/>
      <family val="2"/>
      <charset val="204"/>
    </font>
    <font>
      <sz val="10"/>
      <color theme="1"/>
      <name val="Arial"/>
      <family val="2"/>
      <charset val="204"/>
    </font>
    <font>
      <sz val="8"/>
      <color theme="1"/>
      <name val="Calibri"/>
      <family val="2"/>
      <charset val="204"/>
      <scheme val="minor"/>
    </font>
    <font>
      <sz val="8"/>
      <name val="Calibri"/>
      <family val="2"/>
      <charset val="204"/>
      <scheme val="minor"/>
    </font>
    <font>
      <sz val="14"/>
      <name val="Calibri"/>
      <family val="2"/>
      <charset val="204"/>
      <scheme val="minor"/>
    </font>
    <font>
      <sz val="20"/>
      <name val="Calibri"/>
      <family val="2"/>
      <charset val="204"/>
      <scheme val="minor"/>
    </font>
    <font>
      <i/>
      <sz val="12"/>
      <name val="Calibri"/>
      <family val="2"/>
      <charset val="204"/>
      <scheme val="minor"/>
    </font>
    <font>
      <sz val="12"/>
      <name val="Calibri"/>
      <family val="2"/>
      <charset val="204"/>
      <scheme val="minor"/>
    </font>
    <font>
      <sz val="11"/>
      <name val="Calibri"/>
      <family val="2"/>
      <charset val="204"/>
      <scheme val="minor"/>
    </font>
    <font>
      <sz val="11"/>
      <color theme="1"/>
      <name val="Calibri"/>
      <family val="2"/>
      <charset val="204"/>
      <scheme val="minor"/>
    </font>
    <font>
      <sz val="14"/>
      <color theme="1"/>
      <name val="Calibri"/>
      <family val="2"/>
      <charset val="204"/>
      <scheme val="minor"/>
    </font>
    <font>
      <i/>
      <sz val="12"/>
      <color theme="1"/>
      <name val="Bell MT"/>
      <family val="1"/>
    </font>
    <font>
      <sz val="10"/>
      <name val="Arial"/>
      <family val="2"/>
      <charset val="204"/>
    </font>
    <font>
      <b/>
      <u/>
      <sz val="14"/>
      <name val="Arial"/>
      <family val="2"/>
      <charset val="204"/>
    </font>
    <font>
      <sz val="14"/>
      <name val="Arial"/>
      <family val="2"/>
      <charset val="204"/>
    </font>
    <font>
      <b/>
      <sz val="10"/>
      <name val="Arial"/>
      <family val="2"/>
      <charset val="204"/>
    </font>
    <font>
      <b/>
      <sz val="12"/>
      <color rgb="FFFF0000"/>
      <name val="Arial"/>
      <family val="2"/>
      <charset val="204"/>
    </font>
    <font>
      <sz val="10"/>
      <name val="Arial"/>
      <family val="2"/>
      <charset val="204"/>
    </font>
    <font>
      <b/>
      <sz val="14"/>
      <name val="Arial"/>
      <family val="2"/>
      <charset val="204"/>
    </font>
    <font>
      <b/>
      <sz val="11"/>
      <name val="Arial"/>
      <family val="2"/>
      <charset val="204"/>
    </font>
    <font>
      <sz val="12"/>
      <name val="Arial"/>
      <family val="2"/>
      <charset val="204"/>
    </font>
    <font>
      <sz val="8"/>
      <name val="Arial"/>
      <family val="2"/>
      <charset val="204"/>
    </font>
    <font>
      <sz val="9"/>
      <name val="Arial"/>
      <family val="2"/>
      <charset val="204"/>
    </font>
    <font>
      <sz val="11"/>
      <name val="Arial"/>
      <family val="2"/>
      <charset val="204"/>
    </font>
    <font>
      <b/>
      <sz val="9"/>
      <color rgb="FFFF0000"/>
      <name val="Arial"/>
      <family val="2"/>
      <charset val="204"/>
    </font>
    <font>
      <u/>
      <sz val="12"/>
      <name val="Arial"/>
      <family val="2"/>
      <charset val="204"/>
    </font>
    <font>
      <b/>
      <sz val="11"/>
      <color rgb="FFFF0000"/>
      <name val="Arial"/>
      <family val="2"/>
      <charset val="204"/>
    </font>
    <font>
      <b/>
      <sz val="9"/>
      <color indexed="81"/>
      <name val="Tahoma"/>
      <family val="2"/>
      <charset val="204"/>
    </font>
    <font>
      <sz val="9"/>
      <color indexed="81"/>
      <name val="Tahoma"/>
      <family val="2"/>
      <charset val="204"/>
    </font>
    <font>
      <sz val="7"/>
      <color theme="1"/>
      <name val="Arial"/>
      <family val="2"/>
      <charset val="204"/>
    </font>
    <font>
      <sz val="11"/>
      <color theme="1"/>
      <name val="Arial"/>
      <family val="2"/>
      <charset val="204"/>
    </font>
    <font>
      <i/>
      <sz val="12"/>
      <color theme="1"/>
      <name val="SWGDT"/>
    </font>
  </fonts>
  <fills count="17">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rgb="FFC00000"/>
        <bgColor indexed="64"/>
      </patternFill>
    </fill>
    <fill>
      <patternFill patternType="solid">
        <fgColor theme="5" tint="0.39997558519241921"/>
        <bgColor indexed="64"/>
      </patternFill>
    </fill>
    <fill>
      <patternFill patternType="solid">
        <fgColor indexed="43"/>
        <bgColor indexed="64"/>
      </patternFill>
    </fill>
    <fill>
      <patternFill patternType="solid">
        <fgColor rgb="FFFFFF66"/>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rgb="FF92D050"/>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rgb="FFFF0000"/>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auto="1"/>
      </top>
      <bottom style="thin">
        <color indexed="64"/>
      </bottom>
      <diagonal/>
    </border>
  </borders>
  <cellStyleXfs count="5">
    <xf numFmtId="0" fontId="0" fillId="0" borderId="0"/>
    <xf numFmtId="164" fontId="9" fillId="0" borderId="0" applyFont="0" applyFill="0" applyBorder="0" applyAlignment="0" applyProtection="0"/>
    <xf numFmtId="0" fontId="19" fillId="0" borderId="0"/>
    <xf numFmtId="9" fontId="9" fillId="0" borderId="0" applyFont="0" applyFill="0" applyBorder="0" applyAlignment="0" applyProtection="0"/>
    <xf numFmtId="0" fontId="37" fillId="0" borderId="0"/>
  </cellStyleXfs>
  <cellXfs count="351">
    <xf numFmtId="0" fontId="0" fillId="0" borderId="0" xfId="0"/>
    <xf numFmtId="0" fontId="3" fillId="0" borderId="0" xfId="0" applyFont="1"/>
    <xf numFmtId="0" fontId="3" fillId="0" borderId="0" xfId="0" applyFont="1" applyAlignment="1">
      <alignment horizontal="center" vertical="center"/>
    </xf>
    <xf numFmtId="0" fontId="4" fillId="0" borderId="1" xfId="0" applyFont="1" applyBorder="1" applyAlignment="1">
      <alignment horizontal="center" vertical="center"/>
    </xf>
    <xf numFmtId="0" fontId="5" fillId="0" borderId="1" xfId="0" applyFont="1" applyBorder="1"/>
    <xf numFmtId="0" fontId="3" fillId="0" borderId="0" xfId="0" applyFont="1" applyBorder="1"/>
    <xf numFmtId="0" fontId="5" fillId="0" borderId="0" xfId="0" applyFont="1" applyBorder="1"/>
    <xf numFmtId="165" fontId="5" fillId="0" borderId="1" xfId="0" applyNumberFormat="1" applyFont="1" applyBorder="1"/>
    <xf numFmtId="166" fontId="7" fillId="3" borderId="0" xfId="0" applyNumberFormat="1" applyFont="1" applyFill="1" applyBorder="1"/>
    <xf numFmtId="49" fontId="3" fillId="0" borderId="1" xfId="0" applyNumberFormat="1" applyFont="1" applyBorder="1" applyAlignment="1">
      <alignment vertical="center"/>
    </xf>
    <xf numFmtId="165" fontId="4" fillId="0" borderId="1" xfId="0" applyNumberFormat="1" applyFont="1" applyBorder="1" applyAlignment="1">
      <alignment horizontal="center" vertical="center" wrapText="1"/>
    </xf>
    <xf numFmtId="0" fontId="6" fillId="2" borderId="9" xfId="0" applyFont="1" applyFill="1" applyBorder="1" applyAlignment="1">
      <alignment horizontal="center" vertical="center"/>
    </xf>
    <xf numFmtId="0" fontId="6" fillId="2" borderId="9" xfId="0" applyFont="1" applyFill="1" applyBorder="1" applyAlignment="1">
      <alignment horizontal="center" vertical="center" wrapText="1"/>
    </xf>
    <xf numFmtId="0" fontId="0" fillId="0" borderId="1" xfId="0" applyBorder="1"/>
    <xf numFmtId="0" fontId="8" fillId="0" borderId="1" xfId="0" applyFont="1" applyBorder="1" applyAlignment="1">
      <alignment horizontal="center" vertical="center"/>
    </xf>
    <xf numFmtId="167" fontId="8" fillId="0" borderId="1" xfId="0" applyNumberFormat="1" applyFont="1" applyBorder="1" applyAlignment="1">
      <alignment horizontal="center" vertical="center"/>
    </xf>
    <xf numFmtId="0" fontId="8" fillId="0" borderId="14" xfId="0" applyFont="1" applyBorder="1" applyAlignment="1">
      <alignment vertical="center"/>
    </xf>
    <xf numFmtId="0" fontId="8" fillId="0" borderId="14" xfId="0" applyFont="1" applyBorder="1" applyAlignment="1">
      <alignment horizontal="right"/>
    </xf>
    <xf numFmtId="0" fontId="8" fillId="0" borderId="14" xfId="0" applyFont="1" applyBorder="1" applyAlignment="1">
      <alignment horizontal="right" vertical="center"/>
    </xf>
    <xf numFmtId="0" fontId="8" fillId="0" borderId="1" xfId="0" applyFont="1" applyBorder="1"/>
    <xf numFmtId="0" fontId="8" fillId="0" borderId="4" xfId="0" applyFont="1" applyBorder="1"/>
    <xf numFmtId="0" fontId="6" fillId="2" borderId="16" xfId="0" applyFont="1" applyFill="1" applyBorder="1" applyAlignment="1">
      <alignment horizontal="center" vertical="center" wrapText="1"/>
    </xf>
    <xf numFmtId="167" fontId="8" fillId="0" borderId="5" xfId="0" applyNumberFormat="1" applyFont="1" applyBorder="1" applyAlignment="1">
      <alignment horizontal="center" vertical="center"/>
    </xf>
    <xf numFmtId="167" fontId="8" fillId="0" borderId="17" xfId="0" applyNumberFormat="1" applyFont="1" applyBorder="1" applyAlignment="1">
      <alignment horizontal="center" vertical="center"/>
    </xf>
    <xf numFmtId="0" fontId="8" fillId="0" borderId="18" xfId="0" applyFont="1" applyBorder="1"/>
    <xf numFmtId="0" fontId="8" fillId="0" borderId="5" xfId="0" applyFont="1" applyBorder="1"/>
    <xf numFmtId="0" fontId="3" fillId="0" borderId="1" xfId="0" applyFont="1" applyBorder="1"/>
    <xf numFmtId="0" fontId="8" fillId="0" borderId="2" xfId="0" applyFont="1" applyBorder="1"/>
    <xf numFmtId="0" fontId="8" fillId="0" borderId="19" xfId="0" applyFont="1" applyBorder="1"/>
    <xf numFmtId="0" fontId="3" fillId="0" borderId="2" xfId="0" applyFont="1" applyBorder="1"/>
    <xf numFmtId="0" fontId="3" fillId="0" borderId="4" xfId="0" applyFont="1" applyBorder="1"/>
    <xf numFmtId="0" fontId="0" fillId="0" borderId="2" xfId="0" applyBorder="1"/>
    <xf numFmtId="0" fontId="3" fillId="2" borderId="9" xfId="0" applyFont="1" applyFill="1" applyBorder="1" applyAlignment="1">
      <alignment horizontal="center" vertical="center" wrapText="1"/>
    </xf>
    <xf numFmtId="0" fontId="3" fillId="2" borderId="10" xfId="0" applyFont="1" applyFill="1" applyBorder="1" applyAlignment="1">
      <alignment horizontal="center" vertical="center" wrapText="1"/>
    </xf>
    <xf numFmtId="49" fontId="3" fillId="0" borderId="1" xfId="0" applyNumberFormat="1" applyFont="1" applyBorder="1" applyAlignment="1">
      <alignment vertical="center" wrapText="1"/>
    </xf>
    <xf numFmtId="9" fontId="3" fillId="0" borderId="0" xfId="0" applyNumberFormat="1" applyFont="1" applyBorder="1"/>
    <xf numFmtId="166" fontId="3" fillId="0" borderId="0" xfId="0" applyNumberFormat="1" applyFont="1"/>
    <xf numFmtId="0" fontId="10" fillId="0" borderId="0" xfId="0" applyFont="1" applyFill="1"/>
    <xf numFmtId="0" fontId="11" fillId="0" borderId="1" xfId="0" applyFont="1" applyFill="1" applyBorder="1" applyAlignment="1">
      <alignment horizontal="center"/>
    </xf>
    <xf numFmtId="0" fontId="11" fillId="0" borderId="12" xfId="0" applyFont="1" applyFill="1" applyBorder="1" applyAlignment="1">
      <alignment horizontal="center"/>
    </xf>
    <xf numFmtId="0" fontId="11" fillId="0" borderId="6" xfId="0" applyFont="1" applyFill="1" applyBorder="1" applyAlignment="1">
      <alignment horizontal="center"/>
    </xf>
    <xf numFmtId="0" fontId="11" fillId="0" borderId="1" xfId="0" applyFont="1" applyFill="1" applyBorder="1" applyAlignment="1">
      <alignment horizontal="left" vertical="center"/>
    </xf>
    <xf numFmtId="0" fontId="10" fillId="0" borderId="1" xfId="0" applyFont="1" applyFill="1" applyBorder="1"/>
    <xf numFmtId="0" fontId="11" fillId="0" borderId="31" xfId="0" applyFont="1" applyFill="1" applyBorder="1" applyAlignment="1">
      <alignment horizontal="center"/>
    </xf>
    <xf numFmtId="0" fontId="11" fillId="0" borderId="14" xfId="0" applyFont="1" applyFill="1" applyBorder="1" applyAlignment="1">
      <alignment horizontal="center"/>
    </xf>
    <xf numFmtId="0" fontId="11" fillId="0" borderId="15" xfId="0" applyFont="1" applyFill="1" applyBorder="1" applyAlignment="1">
      <alignment horizontal="center"/>
    </xf>
    <xf numFmtId="0" fontId="13" fillId="0" borderId="1" xfId="0" applyFont="1" applyFill="1" applyBorder="1"/>
    <xf numFmtId="0" fontId="15" fillId="0" borderId="4" xfId="0" applyFont="1" applyFill="1" applyBorder="1" applyAlignment="1">
      <alignment horizontal="center" vertical="center"/>
    </xf>
    <xf numFmtId="0" fontId="11" fillId="0" borderId="4" xfId="0" applyFont="1" applyFill="1" applyBorder="1" applyAlignment="1">
      <alignment horizontal="center" vertical="center" wrapText="1"/>
    </xf>
    <xf numFmtId="0" fontId="14" fillId="0" borderId="4" xfId="0" applyFont="1" applyFill="1" applyBorder="1" applyAlignment="1">
      <alignment horizontal="center" vertical="center" wrapText="1"/>
    </xf>
    <xf numFmtId="164" fontId="15" fillId="0" borderId="1" xfId="1" applyFont="1" applyFill="1" applyBorder="1" applyAlignment="1">
      <alignment horizontal="center" vertical="center"/>
    </xf>
    <xf numFmtId="0" fontId="14" fillId="0" borderId="1" xfId="0" applyFont="1" applyFill="1" applyBorder="1" applyAlignment="1">
      <alignment horizontal="center" vertical="center"/>
    </xf>
    <xf numFmtId="0" fontId="15" fillId="0" borderId="1" xfId="0" applyFont="1" applyFill="1" applyBorder="1"/>
    <xf numFmtId="0" fontId="15" fillId="0" borderId="0" xfId="0" applyFont="1" applyFill="1" applyBorder="1"/>
    <xf numFmtId="0" fontId="14" fillId="0" borderId="0" xfId="0" applyFont="1" applyFill="1" applyBorder="1" applyAlignment="1">
      <alignment horizontal="center" vertical="center"/>
    </xf>
    <xf numFmtId="0" fontId="11" fillId="0" borderId="1" xfId="1" applyNumberFormat="1" applyFont="1" applyFill="1" applyBorder="1" applyAlignment="1">
      <alignment horizontal="center" vertical="center"/>
    </xf>
    <xf numFmtId="0" fontId="11" fillId="0" borderId="1" xfId="0" applyNumberFormat="1" applyFont="1" applyFill="1" applyBorder="1" applyAlignment="1">
      <alignment horizontal="center" vertical="center"/>
    </xf>
    <xf numFmtId="0" fontId="5" fillId="0" borderId="0" xfId="0" applyFont="1"/>
    <xf numFmtId="0" fontId="5" fillId="4" borderId="20" xfId="0" applyFont="1" applyFill="1" applyBorder="1"/>
    <xf numFmtId="0" fontId="5" fillId="0" borderId="21" xfId="0" applyFont="1" applyBorder="1"/>
    <xf numFmtId="0" fontId="5" fillId="0" borderId="22" xfId="0" applyFont="1" applyBorder="1"/>
    <xf numFmtId="0" fontId="5" fillId="0" borderId="23" xfId="0" applyFont="1" applyBorder="1"/>
    <xf numFmtId="0" fontId="5" fillId="0" borderId="24" xfId="0" applyFont="1" applyBorder="1"/>
    <xf numFmtId="0" fontId="5" fillId="2" borderId="19" xfId="0" applyFont="1" applyFill="1" applyBorder="1"/>
    <xf numFmtId="0" fontId="5" fillId="2" borderId="32" xfId="0" applyFont="1" applyFill="1" applyBorder="1"/>
    <xf numFmtId="0" fontId="5" fillId="2" borderId="33" xfId="0" applyFont="1" applyFill="1" applyBorder="1"/>
    <xf numFmtId="0" fontId="5" fillId="0" borderId="34" xfId="0" applyFont="1" applyBorder="1"/>
    <xf numFmtId="0" fontId="5" fillId="0" borderId="35" xfId="0" applyFont="1" applyBorder="1"/>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1" xfId="0" applyFont="1" applyFill="1" applyBorder="1" applyAlignment="1">
      <alignment horizontal="center" vertical="center" wrapText="1"/>
    </xf>
    <xf numFmtId="0" fontId="5" fillId="0" borderId="12" xfId="0" applyFont="1" applyFill="1" applyBorder="1" applyAlignment="1">
      <alignment horizontal="center" vertical="center" wrapText="1"/>
    </xf>
    <xf numFmtId="166" fontId="5" fillId="0" borderId="1" xfId="0" applyNumberFormat="1" applyFont="1" applyBorder="1"/>
    <xf numFmtId="166" fontId="7" fillId="0" borderId="1" xfId="0" applyNumberFormat="1" applyFont="1" applyFill="1" applyBorder="1"/>
    <xf numFmtId="0" fontId="5" fillId="2" borderId="34" xfId="0" applyFont="1" applyFill="1" applyBorder="1"/>
    <xf numFmtId="0" fontId="5" fillId="2" borderId="0" xfId="0" applyFont="1" applyFill="1" applyBorder="1"/>
    <xf numFmtId="0" fontId="5" fillId="2" borderId="35" xfId="0" applyFont="1" applyFill="1" applyBorder="1"/>
    <xf numFmtId="0" fontId="5" fillId="0" borderId="25" xfId="0" applyFont="1" applyBorder="1"/>
    <xf numFmtId="0" fontId="5" fillId="0" borderId="14" xfId="0" applyFont="1" applyBorder="1"/>
    <xf numFmtId="166" fontId="7" fillId="0" borderId="14" xfId="0" applyNumberFormat="1" applyFont="1" applyFill="1" applyBorder="1"/>
    <xf numFmtId="0" fontId="5" fillId="0" borderId="26" xfId="0" applyFont="1" applyBorder="1"/>
    <xf numFmtId="166" fontId="7" fillId="2" borderId="36" xfId="0" applyNumberFormat="1" applyFont="1" applyFill="1" applyBorder="1"/>
    <xf numFmtId="166" fontId="5" fillId="0" borderId="27" xfId="0" applyNumberFormat="1" applyFont="1" applyBorder="1"/>
    <xf numFmtId="166" fontId="0" fillId="0" borderId="0" xfId="0" applyNumberFormat="1"/>
    <xf numFmtId="0" fontId="3" fillId="0" borderId="0" xfId="0" applyFont="1" applyAlignment="1">
      <alignment horizontal="center" vertical="center" textRotation="90"/>
    </xf>
    <xf numFmtId="0" fontId="3" fillId="0" borderId="0" xfId="0" applyFont="1" applyAlignment="1">
      <alignment horizontal="left" vertical="center"/>
    </xf>
    <xf numFmtId="0" fontId="16" fillId="0" borderId="1" xfId="0" applyFont="1" applyBorder="1"/>
    <xf numFmtId="0" fontId="10" fillId="0" borderId="0" xfId="0" applyFont="1" applyFill="1" applyBorder="1" applyAlignment="1">
      <alignment horizontal="center" vertical="center"/>
    </xf>
    <xf numFmtId="0" fontId="10" fillId="0" borderId="0" xfId="0" applyFont="1" applyFill="1" applyBorder="1" applyAlignment="1">
      <alignment horizontal="center" vertical="center" wrapText="1"/>
    </xf>
    <xf numFmtId="0" fontId="10" fillId="0" borderId="0" xfId="0" applyFont="1" applyFill="1" applyBorder="1"/>
    <xf numFmtId="0" fontId="5" fillId="0" borderId="1" xfId="0" applyNumberFormat="1" applyFont="1" applyBorder="1"/>
    <xf numFmtId="0" fontId="7" fillId="5" borderId="36" xfId="0" applyFont="1" applyFill="1" applyBorder="1" applyAlignment="1">
      <alignment horizontal="left" vertical="center"/>
    </xf>
    <xf numFmtId="0" fontId="3" fillId="0" borderId="1" xfId="0" applyNumberFormat="1" applyFont="1" applyBorder="1" applyAlignment="1">
      <alignment vertical="center"/>
    </xf>
    <xf numFmtId="0" fontId="0" fillId="0" borderId="0" xfId="0" applyAlignment="1">
      <alignment horizontal="center" vertical="center" wrapText="1"/>
    </xf>
    <xf numFmtId="0" fontId="13" fillId="0" borderId="0" xfId="0" applyFont="1" applyFill="1" applyBorder="1"/>
    <xf numFmtId="0" fontId="16" fillId="0" borderId="1" xfId="0" applyFont="1" applyBorder="1" applyAlignment="1">
      <alignment horizontal="center"/>
    </xf>
    <xf numFmtId="0" fontId="2" fillId="0" borderId="1" xfId="0" applyFont="1" applyBorder="1"/>
    <xf numFmtId="0" fontId="3" fillId="0" borderId="3" xfId="0" applyFont="1" applyFill="1" applyBorder="1"/>
    <xf numFmtId="0" fontId="16" fillId="0" borderId="6" xfId="0" applyFont="1" applyBorder="1"/>
    <xf numFmtId="0" fontId="16" fillId="0" borderId="5" xfId="0" applyFont="1" applyBorder="1"/>
    <xf numFmtId="0" fontId="16" fillId="0" borderId="39" xfId="0" applyFont="1" applyBorder="1" applyAlignment="1">
      <alignment horizontal="center" vertical="center" wrapText="1"/>
    </xf>
    <xf numFmtId="0" fontId="16" fillId="0" borderId="4" xfId="0" applyFont="1" applyBorder="1" applyAlignment="1">
      <alignment horizontal="center" vertical="center" wrapText="1"/>
    </xf>
    <xf numFmtId="0" fontId="16" fillId="0" borderId="18" xfId="0" applyFont="1" applyBorder="1" applyAlignment="1">
      <alignment horizontal="center" vertical="center" wrapText="1"/>
    </xf>
    <xf numFmtId="0" fontId="3" fillId="0" borderId="6" xfId="0" applyFont="1" applyBorder="1"/>
    <xf numFmtId="0" fontId="3" fillId="0" borderId="5" xfId="0" applyFont="1" applyBorder="1"/>
    <xf numFmtId="0" fontId="3" fillId="0" borderId="39"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33" xfId="0" applyFont="1" applyBorder="1"/>
    <xf numFmtId="0" fontId="5" fillId="0" borderId="1" xfId="0" applyFont="1" applyBorder="1" applyAlignment="1">
      <alignment vertical="center"/>
    </xf>
    <xf numFmtId="0" fontId="5" fillId="0" borderId="1" xfId="0" applyFont="1" applyBorder="1" applyAlignment="1">
      <alignment horizontal="center"/>
    </xf>
    <xf numFmtId="0" fontId="22" fillId="0" borderId="0" xfId="2" applyFont="1" applyAlignment="1">
      <alignment horizontal="left"/>
    </xf>
    <xf numFmtId="0" fontId="19" fillId="0" borderId="0" xfId="2" applyAlignment="1">
      <alignment horizontal="left"/>
    </xf>
    <xf numFmtId="0" fontId="19" fillId="0" borderId="0" xfId="2"/>
    <xf numFmtId="0" fontId="21" fillId="6" borderId="37" xfId="2" applyFont="1" applyFill="1" applyBorder="1" applyAlignment="1">
      <alignment vertical="center" wrapText="1"/>
    </xf>
    <xf numFmtId="0" fontId="21" fillId="6" borderId="0" xfId="2" applyFont="1" applyFill="1" applyBorder="1" applyAlignment="1">
      <alignment vertical="center" wrapText="1"/>
    </xf>
    <xf numFmtId="0" fontId="24" fillId="0" borderId="0" xfId="2" applyFont="1"/>
    <xf numFmtId="0" fontId="19" fillId="7" borderId="0" xfId="2" applyFill="1"/>
    <xf numFmtId="0" fontId="22" fillId="0" borderId="0" xfId="2" applyFont="1"/>
    <xf numFmtId="0" fontId="21" fillId="8" borderId="37" xfId="2" applyFont="1" applyFill="1" applyBorder="1" applyAlignment="1">
      <alignment vertical="center" wrapText="1"/>
    </xf>
    <xf numFmtId="0" fontId="21" fillId="8" borderId="0" xfId="2" applyFont="1" applyFill="1" applyBorder="1" applyAlignment="1">
      <alignment vertical="center" wrapText="1"/>
    </xf>
    <xf numFmtId="14" fontId="21" fillId="6" borderId="1" xfId="2" applyNumberFormat="1" applyFont="1" applyFill="1" applyBorder="1" applyAlignment="1">
      <alignment vertical="center" wrapText="1"/>
    </xf>
    <xf numFmtId="0" fontId="21" fillId="9" borderId="37" xfId="2" applyFont="1" applyFill="1" applyBorder="1" applyAlignment="1">
      <alignment vertical="center" wrapText="1"/>
    </xf>
    <xf numFmtId="0" fontId="21" fillId="9" borderId="0" xfId="2" applyFont="1" applyFill="1" applyBorder="1" applyAlignment="1">
      <alignment vertical="center" wrapText="1"/>
    </xf>
    <xf numFmtId="0" fontId="25" fillId="0" borderId="0" xfId="2" applyFont="1" applyAlignment="1"/>
    <xf numFmtId="0" fontId="19" fillId="0" borderId="40" xfId="2" applyBorder="1" applyAlignment="1"/>
    <xf numFmtId="0" fontId="19" fillId="0" borderId="41" xfId="2" applyBorder="1" applyAlignment="1"/>
    <xf numFmtId="0" fontId="19" fillId="0" borderId="42" xfId="2" applyBorder="1" applyAlignment="1"/>
    <xf numFmtId="0" fontId="19" fillId="0" borderId="38" xfId="2" applyBorder="1" applyAlignment="1"/>
    <xf numFmtId="0" fontId="19" fillId="0" borderId="37" xfId="2" applyFill="1" applyBorder="1" applyAlignment="1"/>
    <xf numFmtId="0" fontId="19" fillId="0" borderId="6" xfId="2" applyFill="1" applyBorder="1" applyAlignment="1"/>
    <xf numFmtId="0" fontId="22" fillId="0" borderId="19" xfId="2" applyFont="1" applyBorder="1" applyAlignment="1">
      <alignment horizontal="center"/>
    </xf>
    <xf numFmtId="0" fontId="22" fillId="0" borderId="2" xfId="2" applyFont="1" applyBorder="1" applyAlignment="1">
      <alignment horizontal="center"/>
    </xf>
    <xf numFmtId="0" fontId="27" fillId="0" borderId="32" xfId="2" applyFont="1" applyBorder="1" applyAlignment="1">
      <alignment horizontal="center" vertical="center"/>
    </xf>
    <xf numFmtId="0" fontId="22" fillId="0" borderId="34" xfId="2" applyFont="1" applyBorder="1" applyAlignment="1">
      <alignment horizontal="center"/>
    </xf>
    <xf numFmtId="0" fontId="22" fillId="0" borderId="3" xfId="2" applyFont="1" applyBorder="1" applyAlignment="1">
      <alignment horizontal="center"/>
    </xf>
    <xf numFmtId="14" fontId="27" fillId="0" borderId="45" xfId="2" applyNumberFormat="1" applyFont="1" applyBorder="1" applyAlignment="1">
      <alignment horizontal="center" vertical="center"/>
    </xf>
    <xf numFmtId="0" fontId="27" fillId="0" borderId="1" xfId="2" applyFont="1" applyBorder="1" applyAlignment="1">
      <alignment horizontal="center" vertical="center"/>
    </xf>
    <xf numFmtId="0" fontId="27" fillId="0" borderId="44" xfId="2" applyFont="1" applyBorder="1" applyAlignment="1">
      <alignment horizontal="center" vertical="center"/>
    </xf>
    <xf numFmtId="0" fontId="27" fillId="0" borderId="37" xfId="2" applyFont="1" applyBorder="1" applyAlignment="1">
      <alignment horizontal="center" vertical="center"/>
    </xf>
    <xf numFmtId="16" fontId="28" fillId="0" borderId="6" xfId="2" applyNumberFormat="1" applyFont="1" applyFill="1" applyBorder="1" applyAlignment="1">
      <alignment vertical="center" textRotation="90"/>
    </xf>
    <xf numFmtId="16" fontId="28" fillId="0" borderId="1" xfId="2" applyNumberFormat="1" applyFont="1" applyFill="1" applyBorder="1" applyAlignment="1">
      <alignment vertical="center" textRotation="90"/>
    </xf>
    <xf numFmtId="0" fontId="22" fillId="0" borderId="5" xfId="2" applyFont="1" applyBorder="1" applyAlignment="1">
      <alignment horizontal="center"/>
    </xf>
    <xf numFmtId="0" fontId="22" fillId="0" borderId="4" xfId="2" applyFont="1" applyBorder="1" applyAlignment="1">
      <alignment horizontal="center"/>
    </xf>
    <xf numFmtId="0" fontId="30" fillId="6" borderId="37" xfId="2" applyFont="1" applyFill="1" applyBorder="1" applyAlignment="1">
      <alignment vertical="center" wrapText="1"/>
    </xf>
    <xf numFmtId="14" fontId="30" fillId="6" borderId="37" xfId="2" applyNumberFormat="1" applyFont="1" applyFill="1" applyBorder="1" applyAlignment="1">
      <alignment vertical="center" wrapText="1"/>
    </xf>
    <xf numFmtId="0" fontId="30" fillId="8" borderId="37" xfId="2" applyFont="1" applyFill="1" applyBorder="1" applyAlignment="1">
      <alignment vertical="center" wrapText="1"/>
    </xf>
    <xf numFmtId="14" fontId="30" fillId="9" borderId="43" xfId="2" applyNumberFormat="1" applyFont="1" applyFill="1" applyBorder="1" applyAlignment="1">
      <alignment vertical="center" wrapText="1"/>
    </xf>
    <xf numFmtId="0" fontId="30" fillId="9" borderId="37" xfId="2" applyFont="1" applyFill="1" applyBorder="1" applyAlignment="1">
      <alignment vertical="center" wrapText="1"/>
    </xf>
    <xf numFmtId="0" fontId="30" fillId="9" borderId="44" xfId="2" applyFont="1" applyFill="1" applyBorder="1" applyAlignment="1">
      <alignment vertical="center" wrapText="1"/>
    </xf>
    <xf numFmtId="0" fontId="30" fillId="10" borderId="1" xfId="2" applyFont="1" applyFill="1" applyBorder="1" applyAlignment="1">
      <alignment vertical="center" wrapText="1"/>
    </xf>
    <xf numFmtId="0" fontId="30" fillId="0" borderId="3" xfId="2" applyFont="1" applyBorder="1" applyAlignment="1">
      <alignment horizontal="center"/>
    </xf>
    <xf numFmtId="0" fontId="30" fillId="11" borderId="35" xfId="2" applyFont="1" applyFill="1" applyBorder="1" applyAlignment="1">
      <alignment horizontal="center"/>
    </xf>
    <xf numFmtId="0" fontId="30" fillId="0" borderId="0" xfId="2" applyFont="1"/>
    <xf numFmtId="0" fontId="30" fillId="0" borderId="1" xfId="2" applyFont="1" applyBorder="1" applyAlignment="1">
      <alignment horizontal="center" vertical="center" wrapText="1"/>
    </xf>
    <xf numFmtId="0" fontId="8" fillId="0" borderId="1" xfId="2" applyFont="1" applyBorder="1" applyAlignment="1">
      <alignment horizontal="left" vertical="center" wrapText="1"/>
    </xf>
    <xf numFmtId="14" fontId="30" fillId="0" borderId="45" xfId="2" applyNumberFormat="1" applyFont="1" applyBorder="1" applyAlignment="1">
      <alignment horizontal="center" vertical="center" wrapText="1"/>
    </xf>
    <xf numFmtId="0" fontId="30" fillId="0" borderId="12" xfId="2" applyFont="1" applyBorder="1" applyAlignment="1">
      <alignment horizontal="center" vertical="center" wrapText="1"/>
    </xf>
    <xf numFmtId="0" fontId="29" fillId="0" borderId="5" xfId="2" applyFont="1" applyBorder="1" applyAlignment="1">
      <alignment horizontal="center" vertical="center" wrapText="1"/>
    </xf>
    <xf numFmtId="0" fontId="31" fillId="0" borderId="1" xfId="2" applyFont="1" applyFill="1" applyBorder="1" applyAlignment="1">
      <alignment vertical="center" wrapText="1"/>
    </xf>
    <xf numFmtId="0" fontId="19" fillId="0" borderId="3" xfId="2" applyBorder="1" applyAlignment="1">
      <alignment horizontal="center"/>
    </xf>
    <xf numFmtId="9" fontId="19" fillId="11" borderId="35" xfId="2" applyNumberFormat="1" applyFill="1" applyBorder="1" applyAlignment="1">
      <alignment horizontal="center"/>
    </xf>
    <xf numFmtId="0" fontId="27" fillId="6" borderId="0" xfId="2" applyFont="1" applyFill="1" applyBorder="1"/>
    <xf numFmtId="0" fontId="26" fillId="0" borderId="19" xfId="2" applyFont="1" applyBorder="1"/>
    <xf numFmtId="0" fontId="26" fillId="0" borderId="32" xfId="2" applyFont="1" applyBorder="1"/>
    <xf numFmtId="0" fontId="24" fillId="0" borderId="32" xfId="2" applyFont="1" applyBorder="1"/>
    <xf numFmtId="0" fontId="19" fillId="0" borderId="33" xfId="2" applyBorder="1"/>
    <xf numFmtId="0" fontId="19" fillId="0" borderId="0" xfId="2" applyBorder="1"/>
    <xf numFmtId="0" fontId="24" fillId="0" borderId="34" xfId="2" applyFont="1" applyBorder="1"/>
    <xf numFmtId="0" fontId="24" fillId="0" borderId="0" xfId="2" applyFont="1" applyBorder="1"/>
    <xf numFmtId="0" fontId="33" fillId="6" borderId="35" xfId="2" applyFont="1" applyFill="1" applyBorder="1"/>
    <xf numFmtId="0" fontId="27" fillId="0" borderId="0" xfId="2" applyFont="1"/>
    <xf numFmtId="0" fontId="19" fillId="0" borderId="35" xfId="2" applyBorder="1"/>
    <xf numFmtId="0" fontId="24" fillId="0" borderId="0" xfId="2" applyFont="1" applyAlignment="1">
      <alignment horizontal="left"/>
    </xf>
    <xf numFmtId="0" fontId="19" fillId="6" borderId="1" xfId="2" applyFill="1" applyBorder="1"/>
    <xf numFmtId="0" fontId="27" fillId="8" borderId="0" xfId="2" applyFont="1" applyFill="1"/>
    <xf numFmtId="0" fontId="19" fillId="8" borderId="0" xfId="2" applyFill="1"/>
    <xf numFmtId="0" fontId="33" fillId="6" borderId="1" xfId="2" applyFont="1" applyFill="1" applyBorder="1"/>
    <xf numFmtId="0" fontId="19" fillId="0" borderId="38" xfId="2" applyBorder="1"/>
    <xf numFmtId="0" fontId="19" fillId="0" borderId="18" xfId="2" applyBorder="1"/>
    <xf numFmtId="0" fontId="19" fillId="0" borderId="39" xfId="2" applyBorder="1"/>
    <xf numFmtId="0" fontId="8" fillId="0" borderId="5" xfId="2" applyFont="1" applyBorder="1" applyAlignment="1">
      <alignment horizontal="left" vertical="center" wrapText="1"/>
    </xf>
    <xf numFmtId="49" fontId="3" fillId="0" borderId="6" xfId="0" applyNumberFormat="1" applyFont="1" applyBorder="1" applyAlignment="1">
      <alignment vertical="center"/>
    </xf>
    <xf numFmtId="0" fontId="8" fillId="0" borderId="1" xfId="0" applyNumberFormat="1" applyFont="1" applyBorder="1" applyAlignment="1">
      <alignment horizontal="left" vertical="center"/>
    </xf>
    <xf numFmtId="0" fontId="8" fillId="0" borderId="2" xfId="0" applyFont="1" applyBorder="1" applyAlignment="1">
      <alignment horizontal="center" vertical="center"/>
    </xf>
    <xf numFmtId="0" fontId="8" fillId="0" borderId="4" xfId="0" applyFont="1" applyBorder="1" applyAlignment="1">
      <alignment horizontal="center"/>
    </xf>
    <xf numFmtId="0" fontId="7" fillId="0" borderId="2" xfId="0" applyFont="1" applyBorder="1" applyAlignment="1">
      <alignment vertical="center"/>
    </xf>
    <xf numFmtId="0" fontId="8" fillId="0" borderId="14" xfId="0" applyFont="1" applyBorder="1" applyAlignment="1">
      <alignment horizontal="center" vertical="center"/>
    </xf>
    <xf numFmtId="167" fontId="8" fillId="0" borderId="14" xfId="0" applyNumberFormat="1" applyFont="1" applyBorder="1" applyAlignment="1">
      <alignment horizontal="center" vertical="center"/>
    </xf>
    <xf numFmtId="0" fontId="7" fillId="0" borderId="14" xfId="0" applyFont="1" applyBorder="1" applyAlignment="1">
      <alignment vertical="center"/>
    </xf>
    <xf numFmtId="0" fontId="36" fillId="0" borderId="0" xfId="0" applyFont="1" applyAlignment="1">
      <alignment vertical="center" wrapText="1"/>
    </xf>
    <xf numFmtId="166" fontId="7" fillId="3" borderId="0" xfId="0" applyNumberFormat="1" applyFont="1" applyFill="1" applyBorder="1" applyAlignment="1">
      <alignment horizontal="center"/>
    </xf>
    <xf numFmtId="0" fontId="7" fillId="0" borderId="0" xfId="0" applyFont="1"/>
    <xf numFmtId="0" fontId="8" fillId="0" borderId="0" xfId="0" applyFont="1"/>
    <xf numFmtId="0" fontId="8" fillId="0" borderId="0" xfId="0" applyFont="1" applyAlignment="1">
      <alignment horizontal="right"/>
    </xf>
    <xf numFmtId="10" fontId="3" fillId="0" borderId="0" xfId="0" applyNumberFormat="1" applyFont="1" applyBorder="1"/>
    <xf numFmtId="166" fontId="7" fillId="3" borderId="0" xfId="0" applyNumberFormat="1" applyFont="1" applyFill="1"/>
    <xf numFmtId="0" fontId="8" fillId="0" borderId="0" xfId="0" applyFont="1" applyBorder="1"/>
    <xf numFmtId="10" fontId="3" fillId="0" borderId="0" xfId="0" applyNumberFormat="1" applyFont="1"/>
    <xf numFmtId="0" fontId="3" fillId="12" borderId="0" xfId="0" applyFont="1" applyFill="1"/>
    <xf numFmtId="0" fontId="3" fillId="12" borderId="0" xfId="0" applyFont="1" applyFill="1" applyBorder="1"/>
    <xf numFmtId="168" fontId="3" fillId="12" borderId="0" xfId="3" applyNumberFormat="1" applyFont="1" applyFill="1" applyBorder="1"/>
    <xf numFmtId="0" fontId="3" fillId="12" borderId="0" xfId="0" applyFont="1" applyFill="1" applyAlignment="1"/>
    <xf numFmtId="0" fontId="3" fillId="0" borderId="0" xfId="0" applyFont="1" applyFill="1" applyBorder="1"/>
    <xf numFmtId="0" fontId="3" fillId="0" borderId="0" xfId="0" applyFont="1" applyFill="1"/>
    <xf numFmtId="0" fontId="8" fillId="0" borderId="0" xfId="0" applyFont="1" applyFill="1"/>
    <xf numFmtId="0" fontId="8" fillId="0" borderId="0" xfId="0" applyFont="1" applyFill="1" applyAlignment="1">
      <alignment horizontal="right"/>
    </xf>
    <xf numFmtId="10" fontId="3" fillId="0" borderId="0" xfId="0" applyNumberFormat="1" applyFont="1" applyFill="1" applyBorder="1"/>
    <xf numFmtId="10" fontId="3" fillId="12" borderId="0" xfId="0" applyNumberFormat="1" applyFont="1" applyFill="1" applyBorder="1"/>
    <xf numFmtId="10" fontId="3" fillId="12" borderId="0" xfId="0" applyNumberFormat="1" applyFont="1" applyFill="1"/>
    <xf numFmtId="10" fontId="8" fillId="0" borderId="0" xfId="0" applyNumberFormat="1" applyFont="1" applyBorder="1"/>
    <xf numFmtId="10" fontId="8" fillId="0" borderId="0" xfId="0" applyNumberFormat="1" applyFont="1"/>
    <xf numFmtId="10" fontId="8" fillId="0" borderId="0" xfId="0" applyNumberFormat="1" applyFont="1" applyFill="1" applyBorder="1"/>
    <xf numFmtId="0" fontId="8" fillId="13" borderId="0" xfId="0" applyFont="1" applyFill="1"/>
    <xf numFmtId="0" fontId="3" fillId="0" borderId="0" xfId="0" applyFont="1" applyAlignment="1">
      <alignment horizontal="center"/>
    </xf>
    <xf numFmtId="0" fontId="1" fillId="0" borderId="1" xfId="0" applyFont="1" applyBorder="1"/>
    <xf numFmtId="0" fontId="1" fillId="0" borderId="1" xfId="0" applyFont="1" applyBorder="1" applyAlignment="1">
      <alignment horizontal="center"/>
    </xf>
    <xf numFmtId="0" fontId="1" fillId="0" borderId="33" xfId="0" applyFont="1" applyBorder="1"/>
    <xf numFmtId="0" fontId="1" fillId="0" borderId="5" xfId="0" applyFont="1" applyBorder="1"/>
    <xf numFmtId="0" fontId="4" fillId="0" borderId="1" xfId="4" applyFont="1" applyBorder="1" applyAlignment="1">
      <alignment horizontal="center" vertical="center" wrapText="1"/>
    </xf>
    <xf numFmtId="0" fontId="37" fillId="0" borderId="0" xfId="4"/>
    <xf numFmtId="14" fontId="8" fillId="0" borderId="2" xfId="2" applyNumberFormat="1" applyFont="1" applyBorder="1" applyAlignment="1">
      <alignment horizontal="center" vertical="center" wrapText="1"/>
    </xf>
    <xf numFmtId="0" fontId="5" fillId="0" borderId="5" xfId="0" applyFont="1" applyBorder="1" applyAlignment="1">
      <alignment wrapText="1"/>
    </xf>
    <xf numFmtId="0" fontId="5" fillId="0" borderId="6" xfId="0" applyFont="1" applyBorder="1" applyAlignment="1">
      <alignment wrapText="1"/>
    </xf>
    <xf numFmtId="0" fontId="4" fillId="0" borderId="1" xfId="4" applyFont="1" applyBorder="1" applyAlignment="1">
      <alignment horizontal="center" vertical="center" textRotation="90" wrapText="1"/>
    </xf>
    <xf numFmtId="167" fontId="5" fillId="0" borderId="1" xfId="0" applyNumberFormat="1" applyFont="1" applyBorder="1"/>
    <xf numFmtId="0" fontId="4" fillId="0" borderId="1" xfId="0" applyFont="1" applyBorder="1" applyAlignment="1">
      <alignment horizontal="center" vertical="center"/>
    </xf>
    <xf numFmtId="165" fontId="3" fillId="0" borderId="5" xfId="0" applyNumberFormat="1" applyFont="1" applyBorder="1" applyAlignment="1">
      <alignment horizontal="right" vertical="center"/>
    </xf>
    <xf numFmtId="165" fontId="4" fillId="0" borderId="5" xfId="0" applyNumberFormat="1" applyFont="1" applyBorder="1" applyAlignment="1">
      <alignment horizontal="center" vertical="center" wrapText="1"/>
    </xf>
    <xf numFmtId="169" fontId="0" fillId="0" borderId="1" xfId="0" applyNumberFormat="1" applyBorder="1"/>
    <xf numFmtId="0" fontId="8" fillId="0" borderId="14" xfId="0" applyFont="1" applyBorder="1" applyAlignment="1">
      <alignment horizontal="center"/>
    </xf>
    <xf numFmtId="0" fontId="3" fillId="0" borderId="0" xfId="0" applyFont="1" applyAlignment="1">
      <alignment vertical="center"/>
    </xf>
    <xf numFmtId="0" fontId="3" fillId="0" borderId="0" xfId="0" applyNumberFormat="1" applyFont="1" applyAlignment="1">
      <alignment vertical="center"/>
    </xf>
    <xf numFmtId="167" fontId="7" fillId="0" borderId="19" xfId="0" applyNumberFormat="1" applyFont="1" applyBorder="1" applyAlignment="1">
      <alignment vertical="center"/>
    </xf>
    <xf numFmtId="167" fontId="7" fillId="0" borderId="17" xfId="0" applyNumberFormat="1" applyFont="1" applyBorder="1" applyAlignment="1">
      <alignment vertical="center"/>
    </xf>
    <xf numFmtId="0" fontId="3" fillId="0" borderId="18" xfId="0" applyFont="1" applyBorder="1"/>
    <xf numFmtId="0" fontId="3" fillId="0" borderId="19" xfId="0" applyFont="1" applyBorder="1"/>
    <xf numFmtId="0" fontId="3" fillId="2" borderId="16" xfId="0" applyFont="1" applyFill="1" applyBorder="1" applyAlignment="1">
      <alignment horizontal="center" vertical="center" wrapText="1"/>
    </xf>
    <xf numFmtId="0" fontId="3" fillId="0" borderId="1" xfId="0" applyFont="1" applyBorder="1" applyAlignment="1">
      <alignment horizontal="left" vertical="center" wrapText="1"/>
    </xf>
    <xf numFmtId="170" fontId="3" fillId="0" borderId="1" xfId="0" applyNumberFormat="1" applyFont="1" applyBorder="1"/>
    <xf numFmtId="0" fontId="11" fillId="14" borderId="1" xfId="0" applyFont="1" applyFill="1" applyBorder="1" applyAlignment="1">
      <alignment horizontal="center" vertical="center"/>
    </xf>
    <xf numFmtId="0" fontId="16" fillId="15" borderId="1" xfId="0" applyFont="1" applyFill="1" applyBorder="1"/>
    <xf numFmtId="165" fontId="3" fillId="0" borderId="1" xfId="0" applyNumberFormat="1" applyFont="1" applyBorder="1" applyAlignment="1">
      <alignment horizontal="right" vertical="center"/>
    </xf>
    <xf numFmtId="0" fontId="3" fillId="0" borderId="46" xfId="0" applyFont="1" applyBorder="1"/>
    <xf numFmtId="49" fontId="3" fillId="0" borderId="46" xfId="0" applyNumberFormat="1" applyFont="1" applyBorder="1" applyAlignment="1">
      <alignment vertical="center"/>
    </xf>
    <xf numFmtId="49" fontId="3" fillId="0" borderId="46" xfId="0" applyNumberFormat="1" applyFont="1" applyBorder="1" applyAlignment="1">
      <alignment vertical="center" wrapText="1"/>
    </xf>
    <xf numFmtId="0" fontId="3" fillId="0" borderId="46" xfId="0" applyNumberFormat="1" applyFont="1" applyBorder="1" applyAlignment="1">
      <alignment vertical="center"/>
    </xf>
    <xf numFmtId="165" fontId="3" fillId="0" borderId="46" xfId="0" applyNumberFormat="1" applyFont="1" applyBorder="1" applyAlignment="1">
      <alignment horizontal="right" vertical="center"/>
    </xf>
    <xf numFmtId="0" fontId="30" fillId="0" borderId="5" xfId="2" applyFont="1" applyBorder="1" applyAlignment="1">
      <alignment horizontal="center" vertical="center" wrapText="1"/>
    </xf>
    <xf numFmtId="167" fontId="8" fillId="16" borderId="17" xfId="0" applyNumberFormat="1" applyFont="1" applyFill="1" applyBorder="1" applyAlignment="1">
      <alignment horizontal="center" vertical="center"/>
    </xf>
    <xf numFmtId="0" fontId="8" fillId="0" borderId="8" xfId="0" applyFont="1" applyBorder="1" applyAlignment="1">
      <alignment horizontal="center" vertical="center"/>
    </xf>
    <xf numFmtId="0" fontId="8" fillId="0" borderId="3" xfId="0" applyFont="1" applyBorder="1" applyAlignment="1">
      <alignment horizontal="center" vertical="center"/>
    </xf>
    <xf numFmtId="0" fontId="8" fillId="0" borderId="7" xfId="0" applyFont="1" applyBorder="1" applyAlignment="1">
      <alignment horizontal="center" vertical="center"/>
    </xf>
    <xf numFmtId="0" fontId="8" fillId="0" borderId="11" xfId="0" applyFont="1" applyBorder="1" applyAlignment="1">
      <alignment horizontal="center" vertical="center"/>
    </xf>
    <xf numFmtId="0" fontId="8" fillId="0" borderId="13" xfId="0" applyFont="1" applyBorder="1" applyAlignment="1">
      <alignment horizontal="center" vertical="center"/>
    </xf>
    <xf numFmtId="49" fontId="3" fillId="0" borderId="5" xfId="0" applyNumberFormat="1" applyFont="1" applyBorder="1" applyAlignment="1">
      <alignment horizontal="left" vertical="center" wrapText="1"/>
    </xf>
    <xf numFmtId="49" fontId="3" fillId="0" borderId="37" xfId="0" applyNumberFormat="1" applyFont="1" applyBorder="1" applyAlignment="1">
      <alignment horizontal="left" vertical="center" wrapText="1"/>
    </xf>
    <xf numFmtId="49" fontId="3" fillId="0" borderId="6" xfId="0" applyNumberFormat="1" applyFont="1" applyBorder="1" applyAlignment="1">
      <alignment horizontal="left" vertical="center" wrapText="1"/>
    </xf>
    <xf numFmtId="0" fontId="18" fillId="0" borderId="1" xfId="0" applyFont="1" applyBorder="1" applyAlignment="1">
      <alignment horizontal="left" vertical="top" wrapText="1"/>
    </xf>
    <xf numFmtId="0" fontId="3" fillId="0" borderId="0" xfId="0" applyFont="1" applyBorder="1" applyAlignment="1">
      <alignment horizontal="left" vertical="center"/>
    </xf>
    <xf numFmtId="0" fontId="3" fillId="0" borderId="1" xfId="0" applyFont="1" applyBorder="1" applyAlignment="1">
      <alignment horizontal="left"/>
    </xf>
    <xf numFmtId="0" fontId="4" fillId="0" borderId="1" xfId="0" applyFont="1" applyBorder="1" applyAlignment="1">
      <alignment horizontal="center" vertical="center"/>
    </xf>
    <xf numFmtId="0" fontId="3" fillId="0" borderId="2" xfId="0" applyFont="1" applyBorder="1" applyAlignment="1">
      <alignment horizontal="left"/>
    </xf>
    <xf numFmtId="0" fontId="7" fillId="5" borderId="28" xfId="0" applyFont="1" applyFill="1" applyBorder="1" applyAlignment="1">
      <alignment horizontal="left" vertical="center"/>
    </xf>
    <xf numFmtId="0" fontId="7" fillId="5" borderId="29" xfId="0" applyFont="1" applyFill="1" applyBorder="1" applyAlignment="1">
      <alignment horizontal="left" vertical="center"/>
    </xf>
    <xf numFmtId="0" fontId="3" fillId="0" borderId="1" xfId="0" applyFont="1" applyBorder="1" applyAlignment="1">
      <alignment horizontal="center"/>
    </xf>
    <xf numFmtId="0" fontId="3" fillId="0" borderId="4" xfId="0" applyFont="1" applyBorder="1" applyAlignment="1">
      <alignment horizontal="center"/>
    </xf>
    <xf numFmtId="0" fontId="3" fillId="0" borderId="4" xfId="0" applyFont="1" applyBorder="1" applyAlignment="1">
      <alignment horizontal="left" wrapText="1"/>
    </xf>
    <xf numFmtId="0" fontId="36" fillId="0" borderId="0" xfId="0" applyFont="1" applyAlignment="1">
      <alignment horizontal="left" vertical="center" wrapText="1"/>
    </xf>
    <xf numFmtId="0" fontId="4" fillId="0" borderId="5" xfId="0" applyFont="1" applyBorder="1" applyAlignment="1">
      <alignment horizontal="center" vertical="center" wrapText="1"/>
    </xf>
    <xf numFmtId="0" fontId="4" fillId="0" borderId="37" xfId="0" applyFont="1" applyBorder="1" applyAlignment="1">
      <alignment horizontal="center" vertical="center" wrapText="1"/>
    </xf>
    <xf numFmtId="0" fontId="4" fillId="0" borderId="6" xfId="0" applyFont="1" applyBorder="1" applyAlignment="1">
      <alignment horizontal="center" vertical="center" wrapText="1"/>
    </xf>
    <xf numFmtId="0" fontId="5" fillId="0" borderId="5" xfId="0" applyFont="1" applyBorder="1" applyAlignment="1">
      <alignment horizontal="center"/>
    </xf>
    <xf numFmtId="0" fontId="5" fillId="0" borderId="37" xfId="0" applyFont="1" applyBorder="1" applyAlignment="1">
      <alignment horizontal="center"/>
    </xf>
    <xf numFmtId="0" fontId="5" fillId="0" borderId="6" xfId="0" applyFont="1" applyBorder="1" applyAlignment="1">
      <alignment horizontal="center"/>
    </xf>
    <xf numFmtId="0" fontId="7"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5" xfId="0" applyFont="1" applyBorder="1" applyAlignment="1">
      <alignment horizontal="right"/>
    </xf>
    <xf numFmtId="0" fontId="5" fillId="0" borderId="37" xfId="0" applyFont="1" applyBorder="1" applyAlignment="1">
      <alignment horizontal="right"/>
    </xf>
    <xf numFmtId="0" fontId="5" fillId="0" borderId="6" xfId="0" applyFont="1" applyBorder="1" applyAlignment="1">
      <alignment horizontal="right"/>
    </xf>
    <xf numFmtId="0" fontId="4" fillId="0" borderId="37" xfId="0" applyFont="1" applyBorder="1" applyAlignment="1">
      <alignment horizontal="center" vertical="center"/>
    </xf>
    <xf numFmtId="0" fontId="7" fillId="0" borderId="5" xfId="0" applyFont="1" applyBorder="1" applyAlignment="1">
      <alignment horizontal="center" vertical="center"/>
    </xf>
    <xf numFmtId="0" fontId="7" fillId="0" borderId="37" xfId="0" applyFont="1" applyBorder="1" applyAlignment="1">
      <alignment horizontal="center" vertical="center"/>
    </xf>
    <xf numFmtId="0" fontId="7" fillId="0" borderId="6" xfId="0" applyFont="1" applyBorder="1" applyAlignment="1">
      <alignment horizontal="center" vertical="center"/>
    </xf>
    <xf numFmtId="0" fontId="3" fillId="3" borderId="32" xfId="0" applyFont="1" applyFill="1" applyBorder="1" applyAlignment="1">
      <alignment horizontal="right"/>
    </xf>
    <xf numFmtId="0" fontId="3" fillId="0" borderId="2" xfId="0" applyNumberFormat="1" applyFont="1" applyBorder="1" applyAlignment="1">
      <alignment horizontal="center" vertical="center"/>
    </xf>
    <xf numFmtId="0" fontId="3" fillId="0" borderId="4" xfId="0" applyNumberFormat="1" applyFont="1" applyBorder="1" applyAlignment="1">
      <alignment horizontal="center" vertical="center"/>
    </xf>
    <xf numFmtId="0" fontId="5" fillId="0" borderId="21" xfId="0" applyFont="1" applyBorder="1" applyAlignment="1">
      <alignment horizontal="center"/>
    </xf>
    <xf numFmtId="0" fontId="5" fillId="0" borderId="26" xfId="0" applyFont="1" applyBorder="1" applyAlignment="1">
      <alignment horizontal="center"/>
    </xf>
    <xf numFmtId="0" fontId="17" fillId="0" borderId="38" xfId="0" applyFont="1" applyBorder="1" applyAlignment="1">
      <alignment horizontal="center" vertical="center"/>
    </xf>
    <xf numFmtId="0" fontId="11" fillId="0" borderId="20" xfId="0" applyFont="1" applyFill="1" applyBorder="1" applyAlignment="1">
      <alignment horizontal="center" vertical="center" wrapText="1"/>
    </xf>
    <xf numFmtId="0" fontId="11" fillId="0" borderId="22" xfId="0" applyFont="1" applyFill="1" applyBorder="1" applyAlignment="1">
      <alignment horizontal="center" vertical="center" wrapText="1"/>
    </xf>
    <xf numFmtId="0" fontId="11" fillId="0" borderId="25" xfId="0" applyFont="1" applyFill="1" applyBorder="1" applyAlignment="1">
      <alignment horizontal="center" vertical="center" wrapText="1"/>
    </xf>
    <xf numFmtId="0" fontId="11" fillId="0" borderId="27" xfId="0" applyFont="1" applyFill="1" applyBorder="1" applyAlignment="1">
      <alignment horizontal="center" vertical="center" wrapText="1"/>
    </xf>
    <xf numFmtId="0" fontId="12" fillId="0" borderId="20" xfId="0" applyFont="1" applyFill="1" applyBorder="1" applyAlignment="1">
      <alignment horizontal="center" vertical="center"/>
    </xf>
    <xf numFmtId="0" fontId="12" fillId="0" borderId="21" xfId="0" applyFont="1" applyFill="1" applyBorder="1" applyAlignment="1">
      <alignment horizontal="center" vertical="center"/>
    </xf>
    <xf numFmtId="0" fontId="12" fillId="0" borderId="22" xfId="0" applyFont="1" applyFill="1" applyBorder="1" applyAlignment="1">
      <alignment horizontal="center" vertical="center"/>
    </xf>
    <xf numFmtId="0" fontId="12" fillId="0" borderId="23"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24" xfId="0" applyFont="1" applyFill="1" applyBorder="1" applyAlignment="1">
      <alignment horizontal="center" vertical="center"/>
    </xf>
    <xf numFmtId="0" fontId="12" fillId="0" borderId="25" xfId="0" applyFont="1" applyFill="1" applyBorder="1" applyAlignment="1">
      <alignment horizontal="center" vertical="center"/>
    </xf>
    <xf numFmtId="0" fontId="12" fillId="0" borderId="26" xfId="0" applyFont="1" applyFill="1" applyBorder="1" applyAlignment="1">
      <alignment horizontal="center" vertical="center"/>
    </xf>
    <xf numFmtId="0" fontId="12" fillId="0" borderId="27" xfId="0" applyFont="1" applyFill="1" applyBorder="1" applyAlignment="1">
      <alignment horizontal="center" vertical="center"/>
    </xf>
    <xf numFmtId="0" fontId="14" fillId="0" borderId="28" xfId="0" applyFont="1" applyFill="1" applyBorder="1" applyAlignment="1">
      <alignment horizontal="center" vertical="center"/>
    </xf>
    <xf numFmtId="0" fontId="14" fillId="0" borderId="29" xfId="0" applyFont="1" applyFill="1" applyBorder="1" applyAlignment="1">
      <alignment horizontal="center" vertical="center"/>
    </xf>
    <xf numFmtId="0" fontId="14" fillId="0" borderId="30" xfId="0" applyFont="1" applyFill="1" applyBorder="1" applyAlignment="1">
      <alignment horizontal="center" vertical="center"/>
    </xf>
    <xf numFmtId="0" fontId="11" fillId="0" borderId="20" xfId="0" applyFont="1" applyFill="1" applyBorder="1" applyAlignment="1">
      <alignment horizontal="center"/>
    </xf>
    <xf numFmtId="0" fontId="11" fillId="0" borderId="21" xfId="0" applyFont="1" applyFill="1" applyBorder="1" applyAlignment="1">
      <alignment horizontal="center"/>
    </xf>
    <xf numFmtId="0" fontId="11" fillId="0" borderId="22" xfId="0" applyFont="1" applyFill="1" applyBorder="1" applyAlignment="1">
      <alignment horizontal="center"/>
    </xf>
    <xf numFmtId="0" fontId="11" fillId="0" borderId="23" xfId="0" applyFont="1" applyFill="1" applyBorder="1" applyAlignment="1">
      <alignment horizontal="center" vertical="center" wrapText="1"/>
    </xf>
    <xf numFmtId="0" fontId="11" fillId="0" borderId="24" xfId="0" applyFont="1" applyFill="1" applyBorder="1" applyAlignment="1">
      <alignment horizontal="center" vertical="center" wrapText="1"/>
    </xf>
    <xf numFmtId="0" fontId="30" fillId="6" borderId="5" xfId="2" applyFont="1" applyFill="1" applyBorder="1" applyAlignment="1">
      <alignment horizontal="center" vertical="center" wrapText="1"/>
    </xf>
    <xf numFmtId="0" fontId="30" fillId="6" borderId="37" xfId="2" applyFont="1" applyFill="1" applyBorder="1" applyAlignment="1">
      <alignment horizontal="center" vertical="center" wrapText="1"/>
    </xf>
    <xf numFmtId="0" fontId="30" fillId="0" borderId="2" xfId="2" applyFont="1" applyFill="1" applyBorder="1" applyAlignment="1">
      <alignment horizontal="center" vertical="center" wrapText="1"/>
    </xf>
    <xf numFmtId="0" fontId="30" fillId="0" borderId="3" xfId="2" applyFont="1" applyFill="1" applyBorder="1" applyAlignment="1">
      <alignment horizontal="center" vertical="center" wrapText="1"/>
    </xf>
    <xf numFmtId="0" fontId="30" fillId="0" borderId="4" xfId="2" applyFont="1" applyFill="1" applyBorder="1" applyAlignment="1">
      <alignment horizontal="center" vertical="center" wrapText="1"/>
    </xf>
    <xf numFmtId="0" fontId="25" fillId="0" borderId="0" xfId="2" applyFont="1" applyAlignment="1">
      <alignment horizontal="center"/>
    </xf>
    <xf numFmtId="0" fontId="26" fillId="0" borderId="0" xfId="2" applyFont="1" applyAlignment="1">
      <alignment horizontal="center"/>
    </xf>
    <xf numFmtId="0" fontId="27" fillId="0" borderId="32" xfId="2" applyFont="1" applyFill="1" applyBorder="1" applyAlignment="1">
      <alignment horizontal="center" vertical="center"/>
    </xf>
    <xf numFmtId="0" fontId="27" fillId="0" borderId="33" xfId="2" applyFont="1" applyFill="1" applyBorder="1" applyAlignment="1">
      <alignment horizontal="center" vertical="center"/>
    </xf>
    <xf numFmtId="0" fontId="27" fillId="0" borderId="1" xfId="2" applyFont="1" applyBorder="1" applyAlignment="1">
      <alignment horizontal="center" vertical="center" wrapText="1"/>
    </xf>
    <xf numFmtId="0" fontId="27" fillId="0" borderId="1" xfId="2" applyFont="1" applyBorder="1" applyAlignment="1">
      <alignment horizontal="center" wrapText="1"/>
    </xf>
    <xf numFmtId="0" fontId="29" fillId="0" borderId="1" xfId="2" applyFont="1" applyBorder="1" applyAlignment="1">
      <alignment horizontal="center" vertical="center" wrapText="1"/>
    </xf>
    <xf numFmtId="0" fontId="29" fillId="0" borderId="1" xfId="2" applyFont="1" applyBorder="1" applyAlignment="1">
      <alignment horizontal="center" wrapText="1"/>
    </xf>
    <xf numFmtId="14" fontId="24" fillId="0" borderId="1" xfId="2" applyNumberFormat="1" applyFont="1" applyBorder="1" applyAlignment="1">
      <alignment horizontal="center" vertical="center" wrapText="1"/>
    </xf>
    <xf numFmtId="14" fontId="24" fillId="0" borderId="1" xfId="2" applyNumberFormat="1" applyFont="1" applyBorder="1" applyAlignment="1">
      <alignment horizontal="center" wrapText="1"/>
    </xf>
    <xf numFmtId="0" fontId="24" fillId="0" borderId="1" xfId="2" applyFont="1" applyBorder="1" applyAlignment="1">
      <alignment horizontal="center" vertical="center" wrapText="1"/>
    </xf>
    <xf numFmtId="0" fontId="24" fillId="0" borderId="1" xfId="2" applyFont="1" applyBorder="1" applyAlignment="1">
      <alignment horizontal="center" wrapText="1"/>
    </xf>
    <xf numFmtId="0" fontId="30" fillId="0" borderId="5" xfId="2" applyFont="1" applyBorder="1" applyAlignment="1">
      <alignment horizontal="center" vertical="center" wrapText="1"/>
    </xf>
    <xf numFmtId="0" fontId="30" fillId="0" borderId="5" xfId="2" applyFont="1" applyBorder="1" applyAlignment="1">
      <alignment horizontal="center" wrapText="1"/>
    </xf>
    <xf numFmtId="0" fontId="27" fillId="0" borderId="43" xfId="2" applyFont="1" applyBorder="1" applyAlignment="1">
      <alignment horizontal="center" vertical="center"/>
    </xf>
    <xf numFmtId="0" fontId="27" fillId="0" borderId="37" xfId="2" applyFont="1" applyBorder="1" applyAlignment="1">
      <alignment horizontal="center" vertical="center"/>
    </xf>
    <xf numFmtId="0" fontId="27" fillId="0" borderId="44" xfId="2" applyFont="1" applyBorder="1" applyAlignment="1">
      <alignment horizontal="center" vertical="center"/>
    </xf>
    <xf numFmtId="0" fontId="23" fillId="6" borderId="1" xfId="2" applyFont="1" applyFill="1" applyBorder="1" applyAlignment="1">
      <alignment horizontal="left"/>
    </xf>
    <xf numFmtId="0" fontId="20" fillId="0" borderId="1" xfId="2" applyFont="1" applyBorder="1" applyAlignment="1">
      <alignment horizontal="right"/>
    </xf>
    <xf numFmtId="0" fontId="21" fillId="6" borderId="1" xfId="2" applyFont="1" applyFill="1" applyBorder="1" applyAlignment="1">
      <alignment horizontal="center" vertical="center" wrapText="1"/>
    </xf>
    <xf numFmtId="0" fontId="21" fillId="6" borderId="0" xfId="2" applyFont="1" applyFill="1" applyBorder="1" applyAlignment="1">
      <alignment horizontal="center" vertical="center" wrapText="1"/>
    </xf>
    <xf numFmtId="0" fontId="28" fillId="0" borderId="1" xfId="2" applyFont="1" applyBorder="1" applyAlignment="1">
      <alignment horizontal="center" vertical="center" wrapText="1"/>
    </xf>
    <xf numFmtId="0" fontId="28" fillId="0" borderId="1" xfId="2" applyFont="1" applyBorder="1" applyAlignment="1">
      <alignment horizontal="center" wrapText="1"/>
    </xf>
    <xf numFmtId="0" fontId="19" fillId="0" borderId="32" xfId="2" applyBorder="1" applyAlignment="1">
      <alignment horizontal="center"/>
    </xf>
    <xf numFmtId="0" fontId="20" fillId="0" borderId="32" xfId="2" applyFont="1" applyBorder="1" applyAlignment="1">
      <alignment horizontal="center"/>
    </xf>
    <xf numFmtId="0" fontId="20" fillId="0" borderId="33" xfId="2" applyFont="1" applyBorder="1" applyAlignment="1">
      <alignment horizontal="center"/>
    </xf>
    <xf numFmtId="0" fontId="8" fillId="0" borderId="37" xfId="2" applyFont="1" applyBorder="1" applyAlignment="1">
      <alignment horizontal="left" vertical="center" wrapText="1"/>
    </xf>
    <xf numFmtId="0" fontId="8" fillId="0" borderId="37" xfId="0" applyNumberFormat="1" applyFont="1" applyBorder="1" applyAlignment="1">
      <alignment horizontal="left" vertical="center"/>
    </xf>
    <xf numFmtId="14" fontId="8" fillId="0" borderId="32" xfId="2" applyNumberFormat="1" applyFont="1" applyBorder="1" applyAlignment="1">
      <alignment horizontal="center" vertical="center" wrapText="1"/>
    </xf>
    <xf numFmtId="14" fontId="30" fillId="0" borderId="43" xfId="2" applyNumberFormat="1" applyFont="1" applyBorder="1" applyAlignment="1">
      <alignment horizontal="center" vertical="center" wrapText="1"/>
    </xf>
    <xf numFmtId="0" fontId="30" fillId="0" borderId="37" xfId="2" applyFont="1" applyBorder="1" applyAlignment="1">
      <alignment horizontal="center" vertical="center" wrapText="1"/>
    </xf>
    <xf numFmtId="0" fontId="30" fillId="0" borderId="44" xfId="2" applyFont="1" applyBorder="1" applyAlignment="1">
      <alignment horizontal="center" vertical="center" wrapText="1"/>
    </xf>
    <xf numFmtId="0" fontId="29" fillId="0" borderId="37" xfId="2" applyFont="1" applyBorder="1" applyAlignment="1">
      <alignment horizontal="center" vertical="center" wrapText="1"/>
    </xf>
    <xf numFmtId="0" fontId="31" fillId="0" borderId="46" xfId="2" applyFont="1" applyFill="1" applyBorder="1" applyAlignment="1">
      <alignment vertical="center" wrapText="1"/>
    </xf>
  </cellXfs>
  <cellStyles count="5">
    <cellStyle name="Обычный" xfId="0" builtinId="0"/>
    <cellStyle name="Обычный 2" xfId="2"/>
    <cellStyle name="Обычный 3" xfId="4"/>
    <cellStyle name="Процентный" xfId="3" builtinId="5"/>
    <cellStyle name="Финансовый" xfId="1" builtinId="3"/>
  </cellStyles>
  <dxfs count="12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0"/>
        <i val="0"/>
        <strike val="0"/>
        <condense val="0"/>
        <extend val="0"/>
        <outline val="0"/>
        <shadow val="0"/>
        <u val="none"/>
        <vertAlign val="baseline"/>
        <sz val="12"/>
        <color theme="1"/>
        <name val="Arial"/>
        <scheme val="none"/>
      </font>
      <numFmt numFmtId="0" formatCode="Genera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Arial"/>
        <scheme val="none"/>
      </font>
      <numFmt numFmtId="0" formatCode="Genera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scheme val="none"/>
      </font>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scheme val="none"/>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theme="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0" formatCode="Genera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0" formatCode="Genera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0" formatCode="Genera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sz val="11"/>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sz val="11"/>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sz val="11"/>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sz val="11"/>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sz val="11"/>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sz val="11"/>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sz val="11"/>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sz val="11"/>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sz val="11"/>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sz val="11"/>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outline="0">
        <left/>
        <right style="thin">
          <color indexed="64"/>
        </right>
        <top style="thin">
          <color indexed="64"/>
        </top>
        <bottom/>
      </border>
    </dxf>
    <dxf>
      <font>
        <b val="0"/>
        <i val="0"/>
        <strike val="0"/>
        <condense val="0"/>
        <extend val="0"/>
        <outline val="0"/>
        <shadow val="0"/>
        <u val="none"/>
        <vertAlign val="baseline"/>
        <sz val="11"/>
        <color theme="1"/>
        <name val="Calibri"/>
        <scheme val="minor"/>
      </font>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dxf>
    <dxf>
      <border outline="0">
        <bottom style="thin">
          <color indexed="64"/>
        </bottom>
      </border>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197260382801042E-2"/>
          <c:y val="0.12896016289953299"/>
          <c:w val="0.93742477755190645"/>
          <c:h val="0.73236027699927342"/>
        </c:manualLayout>
      </c:layout>
      <c:barChart>
        <c:barDir val="col"/>
        <c:grouping val="clustered"/>
        <c:varyColors val="0"/>
        <c:ser>
          <c:idx val="0"/>
          <c:order val="0"/>
          <c:tx>
            <c:strRef>
              <c:f>Расчет!$N$3:$N$4</c:f>
              <c:strCache>
                <c:ptCount val="2"/>
                <c:pt idx="0">
                  <c:v>размер фонда</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Расчет!$M$5:$M$10</c:f>
              <c:strCache>
                <c:ptCount val="6"/>
                <c:pt idx="0">
                  <c:v>Услуги</c:v>
                </c:pt>
                <c:pt idx="1">
                  <c:v>Материальная часть</c:v>
                </c:pt>
                <c:pt idx="2">
                  <c:v>Трудозатраты</c:v>
                </c:pt>
                <c:pt idx="3">
                  <c:v>Расходы на снабжение</c:v>
                </c:pt>
                <c:pt idx="4">
                  <c:v>Маржа на работу</c:v>
                </c:pt>
                <c:pt idx="5">
                  <c:v>Наценка торговая</c:v>
                </c:pt>
              </c:strCache>
            </c:strRef>
          </c:cat>
          <c:val>
            <c:numRef>
              <c:f>Расчет!$N$5:$N$10</c:f>
              <c:numCache>
                <c:formatCode>0.00%</c:formatCode>
                <c:ptCount val="6"/>
                <c:pt idx="0">
                  <c:v>0.191</c:v>
                </c:pt>
                <c:pt idx="1">
                  <c:v>0.30599999999999999</c:v>
                </c:pt>
                <c:pt idx="2">
                  <c:v>0.11599999999999999</c:v>
                </c:pt>
                <c:pt idx="3">
                  <c:v>4.3999999999999997E-2</c:v>
                </c:pt>
                <c:pt idx="4">
                  <c:v>4.9999999999999996E-2</c:v>
                </c:pt>
                <c:pt idx="5">
                  <c:v>0.29300000000000004</c:v>
                </c:pt>
              </c:numCache>
            </c:numRef>
          </c:val>
          <c:extLst>
            <c:ext xmlns:c16="http://schemas.microsoft.com/office/drawing/2014/chart" uri="{C3380CC4-5D6E-409C-BE32-E72D297353CC}">
              <c16:uniqueId val="{00000000-BD20-437E-ABAA-70938ECBB8D1}"/>
            </c:ext>
          </c:extLst>
        </c:ser>
        <c:ser>
          <c:idx val="1"/>
          <c:order val="1"/>
          <c:tx>
            <c:strRef>
              <c:f>Расчет!$O$3:$O$4</c:f>
              <c:strCache>
                <c:ptCount val="2"/>
                <c:pt idx="0">
                  <c:v>получено из сметы</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Расчет!$M$5:$M$10</c:f>
              <c:strCache>
                <c:ptCount val="6"/>
                <c:pt idx="0">
                  <c:v>Услуги</c:v>
                </c:pt>
                <c:pt idx="1">
                  <c:v>Материальная часть</c:v>
                </c:pt>
                <c:pt idx="2">
                  <c:v>Трудозатраты</c:v>
                </c:pt>
                <c:pt idx="3">
                  <c:v>Расходы на снабжение</c:v>
                </c:pt>
                <c:pt idx="4">
                  <c:v>Маржа на работу</c:v>
                </c:pt>
                <c:pt idx="5">
                  <c:v>Наценка торговая</c:v>
                </c:pt>
              </c:strCache>
            </c:strRef>
          </c:cat>
          <c:val>
            <c:numRef>
              <c:f>Расчет!$O$5:$O$10</c:f>
              <c:numCache>
                <c:formatCode>0.00%</c:formatCode>
                <c:ptCount val="6"/>
                <c:pt idx="0">
                  <c:v>7.6283050320671578E-2</c:v>
                </c:pt>
                <c:pt idx="1">
                  <c:v>0.44850047655582731</c:v>
                </c:pt>
                <c:pt idx="2">
                  <c:v>0.2490694995690351</c:v>
                </c:pt>
                <c:pt idx="3">
                  <c:v>2.0991341075059958E-2</c:v>
                </c:pt>
                <c:pt idx="4">
                  <c:v>7.4720849870710523E-2</c:v>
                </c:pt>
                <c:pt idx="5">
                  <c:v>0.13043478260869565</c:v>
                </c:pt>
              </c:numCache>
            </c:numRef>
          </c:val>
          <c:extLst>
            <c:ext xmlns:c16="http://schemas.microsoft.com/office/drawing/2014/chart" uri="{C3380CC4-5D6E-409C-BE32-E72D297353CC}">
              <c16:uniqueId val="{00000001-BD20-437E-ABAA-70938ECBB8D1}"/>
            </c:ext>
          </c:extLst>
        </c:ser>
        <c:dLbls>
          <c:dLblPos val="outEnd"/>
          <c:showLegendKey val="0"/>
          <c:showVal val="1"/>
          <c:showCatName val="0"/>
          <c:showSerName val="0"/>
          <c:showPercent val="0"/>
          <c:showBubbleSize val="0"/>
        </c:dLbls>
        <c:gapWidth val="164"/>
        <c:overlap val="-22"/>
        <c:axId val="-1254239376"/>
        <c:axId val="-1254243184"/>
      </c:barChart>
      <c:catAx>
        <c:axId val="-125423937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254243184"/>
        <c:crosses val="autoZero"/>
        <c:auto val="1"/>
        <c:lblAlgn val="ctr"/>
        <c:lblOffset val="100"/>
        <c:noMultiLvlLbl val="0"/>
      </c:catAx>
      <c:valAx>
        <c:axId val="-1254243184"/>
        <c:scaling>
          <c:orientation val="minMax"/>
        </c:scaling>
        <c:delete val="1"/>
        <c:axPos val="l"/>
        <c:majorGridlines>
          <c:spPr>
            <a:ln>
              <a:solidFill>
                <a:schemeClr val="tx1">
                  <a:lumMod val="15000"/>
                  <a:lumOff val="85000"/>
                </a:schemeClr>
              </a:solidFill>
            </a:ln>
            <a:effectLst/>
          </c:spPr>
        </c:majorGridlines>
        <c:minorGridlines>
          <c:spPr>
            <a:ln>
              <a:solidFill>
                <a:schemeClr val="tx1">
                  <a:lumMod val="5000"/>
                  <a:lumOff val="95000"/>
                </a:schemeClr>
              </a:solidFill>
            </a:ln>
            <a:effectLst/>
          </c:spPr>
        </c:minorGridlines>
        <c:numFmt formatCode="0.00%" sourceLinked="1"/>
        <c:majorTickMark val="none"/>
        <c:minorTickMark val="none"/>
        <c:tickLblPos val="nextTo"/>
        <c:crossAx val="-1254239376"/>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image" Target="../media/image12.png"/><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image" Target="../media/image11.png"/><Relationship Id="rId2" Type="http://schemas.openxmlformats.org/officeDocument/2006/relationships/image" Target="../media/image1.png"/><Relationship Id="rId16" Type="http://schemas.openxmlformats.org/officeDocument/2006/relationships/image" Target="../media/image15.png"/><Relationship Id="rId1" Type="http://schemas.openxmlformats.org/officeDocument/2006/relationships/chart" Target="../charts/chart1.xml"/><Relationship Id="rId6" Type="http://schemas.openxmlformats.org/officeDocument/2006/relationships/image" Target="../media/image5.png"/><Relationship Id="rId11" Type="http://schemas.openxmlformats.org/officeDocument/2006/relationships/image" Target="../media/image10.png"/><Relationship Id="rId5" Type="http://schemas.openxmlformats.org/officeDocument/2006/relationships/image" Target="../media/image4.png"/><Relationship Id="rId15" Type="http://schemas.openxmlformats.org/officeDocument/2006/relationships/image" Target="../media/image14.png"/><Relationship Id="rId10" Type="http://schemas.openxmlformats.org/officeDocument/2006/relationships/image" Target="../media/image9.png"/><Relationship Id="rId4" Type="http://schemas.openxmlformats.org/officeDocument/2006/relationships/image" Target="../media/image3.png"/><Relationship Id="rId9" Type="http://schemas.openxmlformats.org/officeDocument/2006/relationships/image" Target="../media/image8.png"/><Relationship Id="rId14" Type="http://schemas.openxmlformats.org/officeDocument/2006/relationships/image" Target="../media/image13.png"/></Relationships>
</file>

<file path=xl/drawings/_rels/drawing2.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 Id="rId5" Type="http://schemas.openxmlformats.org/officeDocument/2006/relationships/image" Target="../media/image20.png"/><Relationship Id="rId4"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xdr:from>
      <xdr:col>12</xdr:col>
      <xdr:colOff>1</xdr:colOff>
      <xdr:row>2</xdr:row>
      <xdr:rowOff>449407</xdr:rowOff>
    </xdr:from>
    <xdr:to>
      <xdr:col>18</xdr:col>
      <xdr:colOff>339438</xdr:colOff>
      <xdr:row>10</xdr:row>
      <xdr:rowOff>47626</xdr:rowOff>
    </xdr:to>
    <xdr:graphicFrame macro="">
      <xdr:nvGraphicFramePr>
        <xdr:cNvPr id="3" name="Диаграмма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63500</xdr:colOff>
      <xdr:row>2</xdr:row>
      <xdr:rowOff>63500</xdr:rowOff>
    </xdr:from>
    <xdr:to>
      <xdr:col>3</xdr:col>
      <xdr:colOff>904875</xdr:colOff>
      <xdr:row>2</xdr:row>
      <xdr:rowOff>2317750</xdr:rowOff>
    </xdr:to>
    <xdr:pic>
      <xdr:nvPicPr>
        <xdr:cNvPr id="2" name="Рисунок 1"/>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725" y="606425"/>
          <a:ext cx="3079750" cy="2254250"/>
        </a:xfrm>
        <a:prstGeom prst="rect">
          <a:avLst/>
        </a:prstGeom>
      </xdr:spPr>
    </xdr:pic>
    <xdr:clientData/>
  </xdr:twoCellAnchor>
  <xdr:twoCellAnchor editAs="oneCell">
    <xdr:from>
      <xdr:col>2</xdr:col>
      <xdr:colOff>63500</xdr:colOff>
      <xdr:row>113</xdr:row>
      <xdr:rowOff>63500</xdr:rowOff>
    </xdr:from>
    <xdr:to>
      <xdr:col>2</xdr:col>
      <xdr:colOff>1581150</xdr:colOff>
      <xdr:row>114</xdr:row>
      <xdr:rowOff>9525</xdr:rowOff>
    </xdr:to>
    <xdr:pic>
      <xdr:nvPicPr>
        <xdr:cNvPr id="4" name="Рисунок 3"/>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06450" y="21828125"/>
          <a:ext cx="1517650" cy="755650"/>
        </a:xfrm>
        <a:prstGeom prst="rect">
          <a:avLst/>
        </a:prstGeom>
      </xdr:spPr>
    </xdr:pic>
    <xdr:clientData/>
  </xdr:twoCellAnchor>
  <xdr:twoCellAnchor editAs="oneCell">
    <xdr:from>
      <xdr:col>2</xdr:col>
      <xdr:colOff>63500</xdr:colOff>
      <xdr:row>122</xdr:row>
      <xdr:rowOff>63500</xdr:rowOff>
    </xdr:from>
    <xdr:to>
      <xdr:col>2</xdr:col>
      <xdr:colOff>1581150</xdr:colOff>
      <xdr:row>123</xdr:row>
      <xdr:rowOff>9525</xdr:rowOff>
    </xdr:to>
    <xdr:pic>
      <xdr:nvPicPr>
        <xdr:cNvPr id="5" name="Рисунок 4"/>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06450" y="23037800"/>
          <a:ext cx="1517650" cy="831850"/>
        </a:xfrm>
        <a:prstGeom prst="rect">
          <a:avLst/>
        </a:prstGeom>
      </xdr:spPr>
    </xdr:pic>
    <xdr:clientData/>
  </xdr:twoCellAnchor>
  <xdr:twoCellAnchor editAs="oneCell">
    <xdr:from>
      <xdr:col>2</xdr:col>
      <xdr:colOff>63500</xdr:colOff>
      <xdr:row>133</xdr:row>
      <xdr:rowOff>63500</xdr:rowOff>
    </xdr:from>
    <xdr:to>
      <xdr:col>2</xdr:col>
      <xdr:colOff>1581150</xdr:colOff>
      <xdr:row>134</xdr:row>
      <xdr:rowOff>9525</xdr:rowOff>
    </xdr:to>
    <xdr:pic>
      <xdr:nvPicPr>
        <xdr:cNvPr id="6" name="Рисунок 5"/>
        <xdr:cNvPicPr>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06450" y="24685625"/>
          <a:ext cx="1517650" cy="755650"/>
        </a:xfrm>
        <a:prstGeom prst="rect">
          <a:avLst/>
        </a:prstGeom>
      </xdr:spPr>
    </xdr:pic>
    <xdr:clientData/>
  </xdr:twoCellAnchor>
  <xdr:twoCellAnchor editAs="oneCell">
    <xdr:from>
      <xdr:col>2</xdr:col>
      <xdr:colOff>63500</xdr:colOff>
      <xdr:row>142</xdr:row>
      <xdr:rowOff>63500</xdr:rowOff>
    </xdr:from>
    <xdr:to>
      <xdr:col>2</xdr:col>
      <xdr:colOff>1581150</xdr:colOff>
      <xdr:row>143</xdr:row>
      <xdr:rowOff>9525</xdr:rowOff>
    </xdr:to>
    <xdr:pic>
      <xdr:nvPicPr>
        <xdr:cNvPr id="7" name="Рисунок 6"/>
        <xdr:cNvPicPr>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806450" y="25904825"/>
          <a:ext cx="1517650" cy="755650"/>
        </a:xfrm>
        <a:prstGeom prst="rect">
          <a:avLst/>
        </a:prstGeom>
      </xdr:spPr>
    </xdr:pic>
    <xdr:clientData/>
  </xdr:twoCellAnchor>
  <xdr:twoCellAnchor editAs="oneCell">
    <xdr:from>
      <xdr:col>2</xdr:col>
      <xdr:colOff>63500</xdr:colOff>
      <xdr:row>155</xdr:row>
      <xdr:rowOff>63500</xdr:rowOff>
    </xdr:from>
    <xdr:to>
      <xdr:col>2</xdr:col>
      <xdr:colOff>1581150</xdr:colOff>
      <xdr:row>156</xdr:row>
      <xdr:rowOff>9525</xdr:rowOff>
    </xdr:to>
    <xdr:pic>
      <xdr:nvPicPr>
        <xdr:cNvPr id="8" name="Рисунок 7"/>
        <xdr:cNvPicPr>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06450" y="27895550"/>
          <a:ext cx="1517650" cy="755650"/>
        </a:xfrm>
        <a:prstGeom prst="rect">
          <a:avLst/>
        </a:prstGeom>
      </xdr:spPr>
    </xdr:pic>
    <xdr:clientData/>
  </xdr:twoCellAnchor>
  <xdr:twoCellAnchor editAs="oneCell">
    <xdr:from>
      <xdr:col>2</xdr:col>
      <xdr:colOff>63500</xdr:colOff>
      <xdr:row>164</xdr:row>
      <xdr:rowOff>63500</xdr:rowOff>
    </xdr:from>
    <xdr:to>
      <xdr:col>2</xdr:col>
      <xdr:colOff>1581150</xdr:colOff>
      <xdr:row>165</xdr:row>
      <xdr:rowOff>9525</xdr:rowOff>
    </xdr:to>
    <xdr:pic>
      <xdr:nvPicPr>
        <xdr:cNvPr id="9" name="Рисунок 8"/>
        <xdr:cNvPicPr>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806450" y="29114750"/>
          <a:ext cx="1517650" cy="755650"/>
        </a:xfrm>
        <a:prstGeom prst="rect">
          <a:avLst/>
        </a:prstGeom>
      </xdr:spPr>
    </xdr:pic>
    <xdr:clientData/>
  </xdr:twoCellAnchor>
  <xdr:twoCellAnchor editAs="oneCell">
    <xdr:from>
      <xdr:col>2</xdr:col>
      <xdr:colOff>63500</xdr:colOff>
      <xdr:row>173</xdr:row>
      <xdr:rowOff>63500</xdr:rowOff>
    </xdr:from>
    <xdr:to>
      <xdr:col>2</xdr:col>
      <xdr:colOff>1581150</xdr:colOff>
      <xdr:row>174</xdr:row>
      <xdr:rowOff>9525</xdr:rowOff>
    </xdr:to>
    <xdr:pic>
      <xdr:nvPicPr>
        <xdr:cNvPr id="10" name="Рисунок 9"/>
        <xdr:cNvPicPr>
          <a:picLocks/>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806450" y="30333950"/>
          <a:ext cx="1517650" cy="755650"/>
        </a:xfrm>
        <a:prstGeom prst="rect">
          <a:avLst/>
        </a:prstGeom>
      </xdr:spPr>
    </xdr:pic>
    <xdr:clientData/>
  </xdr:twoCellAnchor>
  <xdr:twoCellAnchor editAs="oneCell">
    <xdr:from>
      <xdr:col>2</xdr:col>
      <xdr:colOff>63500</xdr:colOff>
      <xdr:row>182</xdr:row>
      <xdr:rowOff>63500</xdr:rowOff>
    </xdr:from>
    <xdr:to>
      <xdr:col>2</xdr:col>
      <xdr:colOff>1581150</xdr:colOff>
      <xdr:row>183</xdr:row>
      <xdr:rowOff>9525</xdr:rowOff>
    </xdr:to>
    <xdr:pic>
      <xdr:nvPicPr>
        <xdr:cNvPr id="11" name="Рисунок 10"/>
        <xdr:cNvPicPr>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806450" y="31553150"/>
          <a:ext cx="1517650" cy="755650"/>
        </a:xfrm>
        <a:prstGeom prst="rect">
          <a:avLst/>
        </a:prstGeom>
      </xdr:spPr>
    </xdr:pic>
    <xdr:clientData/>
  </xdr:twoCellAnchor>
  <xdr:twoCellAnchor editAs="oneCell">
    <xdr:from>
      <xdr:col>2</xdr:col>
      <xdr:colOff>63500</xdr:colOff>
      <xdr:row>191</xdr:row>
      <xdr:rowOff>63500</xdr:rowOff>
    </xdr:from>
    <xdr:to>
      <xdr:col>2</xdr:col>
      <xdr:colOff>1581150</xdr:colOff>
      <xdr:row>192</xdr:row>
      <xdr:rowOff>9525</xdr:rowOff>
    </xdr:to>
    <xdr:pic>
      <xdr:nvPicPr>
        <xdr:cNvPr id="12" name="Рисунок 11"/>
        <xdr:cNvPicPr>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806450" y="32772350"/>
          <a:ext cx="1517650" cy="1012825"/>
        </a:xfrm>
        <a:prstGeom prst="rect">
          <a:avLst/>
        </a:prstGeom>
      </xdr:spPr>
    </xdr:pic>
    <xdr:clientData/>
  </xdr:twoCellAnchor>
  <xdr:twoCellAnchor editAs="oneCell">
    <xdr:from>
      <xdr:col>2</xdr:col>
      <xdr:colOff>63500</xdr:colOff>
      <xdr:row>200</xdr:row>
      <xdr:rowOff>63500</xdr:rowOff>
    </xdr:from>
    <xdr:to>
      <xdr:col>2</xdr:col>
      <xdr:colOff>1581150</xdr:colOff>
      <xdr:row>201</xdr:row>
      <xdr:rowOff>9525</xdr:rowOff>
    </xdr:to>
    <xdr:pic>
      <xdr:nvPicPr>
        <xdr:cNvPr id="13" name="Рисунок 12"/>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806450" y="34248725"/>
          <a:ext cx="1517650" cy="946150"/>
        </a:xfrm>
        <a:prstGeom prst="rect">
          <a:avLst/>
        </a:prstGeom>
      </xdr:spPr>
    </xdr:pic>
    <xdr:clientData/>
  </xdr:twoCellAnchor>
  <xdr:twoCellAnchor editAs="oneCell">
    <xdr:from>
      <xdr:col>2</xdr:col>
      <xdr:colOff>63500</xdr:colOff>
      <xdr:row>209</xdr:row>
      <xdr:rowOff>63500</xdr:rowOff>
    </xdr:from>
    <xdr:to>
      <xdr:col>2</xdr:col>
      <xdr:colOff>1581150</xdr:colOff>
      <xdr:row>210</xdr:row>
      <xdr:rowOff>9525</xdr:rowOff>
    </xdr:to>
    <xdr:pic>
      <xdr:nvPicPr>
        <xdr:cNvPr id="14" name="Рисунок 13"/>
        <xdr:cNvPicPr>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806450" y="35658425"/>
          <a:ext cx="1517650" cy="746125"/>
        </a:xfrm>
        <a:prstGeom prst="rect">
          <a:avLst/>
        </a:prstGeom>
      </xdr:spPr>
    </xdr:pic>
    <xdr:clientData/>
  </xdr:twoCellAnchor>
  <xdr:twoCellAnchor editAs="oneCell">
    <xdr:from>
      <xdr:col>2</xdr:col>
      <xdr:colOff>63500</xdr:colOff>
      <xdr:row>218</xdr:row>
      <xdr:rowOff>63500</xdr:rowOff>
    </xdr:from>
    <xdr:to>
      <xdr:col>2</xdr:col>
      <xdr:colOff>1581150</xdr:colOff>
      <xdr:row>219</xdr:row>
      <xdr:rowOff>9525</xdr:rowOff>
    </xdr:to>
    <xdr:pic>
      <xdr:nvPicPr>
        <xdr:cNvPr id="15" name="Рисунок 14"/>
        <xdr:cNvPicPr>
          <a:picLocks/>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806450" y="36868100"/>
          <a:ext cx="1517650" cy="1003300"/>
        </a:xfrm>
        <a:prstGeom prst="rect">
          <a:avLst/>
        </a:prstGeom>
      </xdr:spPr>
    </xdr:pic>
    <xdr:clientData/>
  </xdr:twoCellAnchor>
  <xdr:twoCellAnchor editAs="oneCell">
    <xdr:from>
      <xdr:col>2</xdr:col>
      <xdr:colOff>63500</xdr:colOff>
      <xdr:row>229</xdr:row>
      <xdr:rowOff>63500</xdr:rowOff>
    </xdr:from>
    <xdr:to>
      <xdr:col>2</xdr:col>
      <xdr:colOff>1581150</xdr:colOff>
      <xdr:row>230</xdr:row>
      <xdr:rowOff>9525</xdr:rowOff>
    </xdr:to>
    <xdr:pic>
      <xdr:nvPicPr>
        <xdr:cNvPr id="16" name="Рисунок 15"/>
        <xdr:cNvPicPr>
          <a:picLocks/>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806450" y="38725475"/>
          <a:ext cx="1517650" cy="803275"/>
        </a:xfrm>
        <a:prstGeom prst="rect">
          <a:avLst/>
        </a:prstGeom>
      </xdr:spPr>
    </xdr:pic>
    <xdr:clientData/>
  </xdr:twoCellAnchor>
  <xdr:twoCellAnchor editAs="oneCell">
    <xdr:from>
      <xdr:col>2</xdr:col>
      <xdr:colOff>63500</xdr:colOff>
      <xdr:row>238</xdr:row>
      <xdr:rowOff>63500</xdr:rowOff>
    </xdr:from>
    <xdr:to>
      <xdr:col>2</xdr:col>
      <xdr:colOff>1581150</xdr:colOff>
      <xdr:row>239</xdr:row>
      <xdr:rowOff>9525</xdr:rowOff>
    </xdr:to>
    <xdr:pic>
      <xdr:nvPicPr>
        <xdr:cNvPr id="17" name="Рисунок 16"/>
        <xdr:cNvPicPr>
          <a:picLocks/>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806450" y="39992300"/>
          <a:ext cx="1517650" cy="812800"/>
        </a:xfrm>
        <a:prstGeom prst="rect">
          <a:avLst/>
        </a:prstGeom>
      </xdr:spPr>
    </xdr:pic>
    <xdr:clientData/>
  </xdr:twoCellAnchor>
  <xdr:twoCellAnchor editAs="oneCell">
    <xdr:from>
      <xdr:col>2</xdr:col>
      <xdr:colOff>63500</xdr:colOff>
      <xdr:row>247</xdr:row>
      <xdr:rowOff>63500</xdr:rowOff>
    </xdr:from>
    <xdr:to>
      <xdr:col>2</xdr:col>
      <xdr:colOff>1581150</xdr:colOff>
      <xdr:row>248</xdr:row>
      <xdr:rowOff>9525</xdr:rowOff>
    </xdr:to>
    <xdr:pic>
      <xdr:nvPicPr>
        <xdr:cNvPr id="18" name="Рисунок 17"/>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06450" y="41268650"/>
          <a:ext cx="1517650" cy="8985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0</xdr:colOff>
      <xdr:row>6</xdr:row>
      <xdr:rowOff>0</xdr:rowOff>
    </xdr:from>
    <xdr:to>
      <xdr:col>16</xdr:col>
      <xdr:colOff>0</xdr:colOff>
      <xdr:row>17</xdr:row>
      <xdr:rowOff>0</xdr:rowOff>
    </xdr:to>
    <xdr:pic>
      <xdr:nvPicPr>
        <xdr:cNvPr id="2" name="Рисунок 1"/>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10625" y="1095375"/>
          <a:ext cx="2667000" cy="2600325"/>
        </a:xfrm>
        <a:prstGeom prst="rect">
          <a:avLst/>
        </a:prstGeom>
      </xdr:spPr>
    </xdr:pic>
    <xdr:clientData/>
  </xdr:twoCellAnchor>
  <xdr:twoCellAnchor editAs="oneCell">
    <xdr:from>
      <xdr:col>11</xdr:col>
      <xdr:colOff>0</xdr:colOff>
      <xdr:row>23</xdr:row>
      <xdr:rowOff>0</xdr:rowOff>
    </xdr:from>
    <xdr:to>
      <xdr:col>16</xdr:col>
      <xdr:colOff>0</xdr:colOff>
      <xdr:row>34</xdr:row>
      <xdr:rowOff>0</xdr:rowOff>
    </xdr:to>
    <xdr:pic>
      <xdr:nvPicPr>
        <xdr:cNvPr id="3" name="Рисунок 2"/>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810625" y="5124450"/>
          <a:ext cx="2667000" cy="2600325"/>
        </a:xfrm>
        <a:prstGeom prst="rect">
          <a:avLst/>
        </a:prstGeom>
      </xdr:spPr>
    </xdr:pic>
    <xdr:clientData/>
  </xdr:twoCellAnchor>
  <xdr:twoCellAnchor editAs="oneCell">
    <xdr:from>
      <xdr:col>11</xdr:col>
      <xdr:colOff>0</xdr:colOff>
      <xdr:row>40</xdr:row>
      <xdr:rowOff>0</xdr:rowOff>
    </xdr:from>
    <xdr:to>
      <xdr:col>16</xdr:col>
      <xdr:colOff>0</xdr:colOff>
      <xdr:row>51</xdr:row>
      <xdr:rowOff>0</xdr:rowOff>
    </xdr:to>
    <xdr:pic>
      <xdr:nvPicPr>
        <xdr:cNvPr id="4" name="Рисунок 3"/>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810625" y="9153525"/>
          <a:ext cx="2667000" cy="2600325"/>
        </a:xfrm>
        <a:prstGeom prst="rect">
          <a:avLst/>
        </a:prstGeom>
      </xdr:spPr>
    </xdr:pic>
    <xdr:clientData/>
  </xdr:twoCellAnchor>
  <xdr:twoCellAnchor editAs="oneCell">
    <xdr:from>
      <xdr:col>11</xdr:col>
      <xdr:colOff>0</xdr:colOff>
      <xdr:row>57</xdr:row>
      <xdr:rowOff>0</xdr:rowOff>
    </xdr:from>
    <xdr:to>
      <xdr:col>16</xdr:col>
      <xdr:colOff>0</xdr:colOff>
      <xdr:row>68</xdr:row>
      <xdr:rowOff>0</xdr:rowOff>
    </xdr:to>
    <xdr:pic>
      <xdr:nvPicPr>
        <xdr:cNvPr id="5" name="Рисунок 4"/>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810625" y="13182600"/>
          <a:ext cx="2667000" cy="2600325"/>
        </a:xfrm>
        <a:prstGeom prst="rect">
          <a:avLst/>
        </a:prstGeom>
      </xdr:spPr>
    </xdr:pic>
    <xdr:clientData/>
  </xdr:twoCellAnchor>
  <xdr:twoCellAnchor editAs="oneCell">
    <xdr:from>
      <xdr:col>11</xdr:col>
      <xdr:colOff>0</xdr:colOff>
      <xdr:row>74</xdr:row>
      <xdr:rowOff>0</xdr:rowOff>
    </xdr:from>
    <xdr:to>
      <xdr:col>16</xdr:col>
      <xdr:colOff>0</xdr:colOff>
      <xdr:row>85</xdr:row>
      <xdr:rowOff>0</xdr:rowOff>
    </xdr:to>
    <xdr:pic>
      <xdr:nvPicPr>
        <xdr:cNvPr id="6" name="Рисунок 5"/>
        <xdr:cNvPicPr>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810625" y="17154525"/>
          <a:ext cx="2667000" cy="2600325"/>
        </a:xfrm>
        <a:prstGeom prst="rect">
          <a:avLst/>
        </a:prstGeom>
      </xdr:spPr>
    </xdr:pic>
    <xdr:clientData/>
  </xdr:twoCellAnchor>
</xdr:wsDr>
</file>

<file path=xl/tables/table1.xml><?xml version="1.0" encoding="utf-8"?>
<table xmlns="http://schemas.openxmlformats.org/spreadsheetml/2006/main" id="1" name="Лазер" displayName="Лазер" ref="A2:V238" totalsRowCount="1" headerRowDxfId="123" dataDxfId="121" headerRowBorderDxfId="122" tableBorderDxfId="120">
  <autoFilter ref="A2:V23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name="Поз." totalsRowLabel="Итог" dataDxfId="119" totalsRowDxfId="118"/>
    <tableColumn id="2" name="Обозначение" dataDxfId="117" totalsRowDxfId="116"/>
    <tableColumn id="3" name="Наименование" dataDxfId="115" totalsRowDxfId="114"/>
    <tableColumn id="4" name="Кол., шт" dataDxfId="113" totalsRowDxfId="112"/>
    <tableColumn id="5" name="Толщина, мм" dataDxfId="111" totalsRowDxfId="110"/>
    <tableColumn id="6" name="Материал" dataDxfId="109" totalsRowDxfId="108"/>
    <tableColumn id="7" name="Технология" dataDxfId="107" totalsRowDxfId="106"/>
    <tableColumn id="8" name="Масса, кг" dataDxfId="105" totalsRowDxfId="104"/>
    <tableColumn id="9" name="Сгибы" dataDxfId="103" totalsRowDxfId="102"/>
    <tableColumn id="10" name="Врезки" dataDxfId="101" totalsRowDxfId="100"/>
    <tableColumn id="11" name="Периметр -_x000a_Внешний, мм" dataDxfId="99" totalsRowDxfId="98"/>
    <tableColumn id="12" name="Периметр -_x000a_Внутренний, мм" dataDxfId="97" totalsRowDxfId="96"/>
    <tableColumn id="13" name="Цена материала, руб с НДС/кг" dataDxfId="95" totalsRowDxfId="94">
      <calculatedColumnFormula>VLOOKUP(F3,'Прайс Лазер'!$L$3:$M$9,2,0)</calculatedColumnFormula>
    </tableColumn>
    <tableColumn id="14" name="Цена гибки, руб с НДС/сгиб" dataDxfId="93" totalsRowDxfId="92"/>
    <tableColumn id="15" name="Цена врезки, руб с НДС/врезка" dataDxfId="91" totalsRowDxfId="90">
      <calculatedColumnFormula>VLOOKUP(E3,'Прайс Лазер'!$I$4:$J$21,2,0)</calculatedColumnFormula>
    </tableColumn>
    <tableColumn id="16" name="Цена резки, руб с НДС/м" dataDxfId="89" totalsRowDxfId="88">
      <calculatedColumnFormula>HLOOKUP('Оценка лазера'!$E3,'Прайс Лазер'!$C$26:$T$34,1+VLOOKUP(F3,'Прайс Лазер'!$A$26:$B$34,2,0),0)</calculatedColumnFormula>
    </tableColumn>
    <tableColumn id="17" name="Стоимость материала, руб с НДС" dataDxfId="87" totalsRowDxfId="86">
      <calculatedColumnFormula>H3*M3</calculatedColumnFormula>
    </tableColumn>
    <tableColumn id="18" name="Стоимость гибки, руб с НДС" dataDxfId="85" totalsRowDxfId="84">
      <calculatedColumnFormula>I3*N3</calculatedColumnFormula>
    </tableColumn>
    <tableColumn id="19" name="Стоимость _x000a_резки, руб с НДС" dataDxfId="83" totalsRowDxfId="82">
      <calculatedColumnFormula>(K3+L3)/1000*1.1*P3+(J3*O3)</calculatedColumnFormula>
    </tableColumn>
    <tableColumn id="20" name="Стоимость 1 _x000a_детали, руб с НДС" dataDxfId="81" totalsRowDxfId="80">
      <calculatedColumnFormula>Q3+R3+S3</calculatedColumnFormula>
    </tableColumn>
    <tableColumn id="21" name="Стоимость _x000a_комплекта, руб с НДС" dataDxfId="79" totalsRowDxfId="78">
      <calculatedColumnFormula>D3*T3</calculatedColumnFormula>
    </tableColumn>
    <tableColumn id="22" name="Стоимость _x000a_комплекта, руб без НДС" totalsRowFunction="custom" dataDxfId="77" totalsRowDxfId="76">
      <calculatedColumnFormula>U3/1.2</calculatedColumnFormula>
      <totalsRowFormula>SUM(V3:V237)</totalsRowFormula>
    </tableColumn>
  </tableColumns>
  <tableStyleInfo name="TableStyleMedium2" showFirstColumn="0" showLastColumn="0" showRowStripes="1" showColumnStripes="0"/>
</table>
</file>

<file path=xl/tables/table2.xml><?xml version="1.0" encoding="utf-8"?>
<table xmlns="http://schemas.openxmlformats.org/spreadsheetml/2006/main" id="2" name="Таблица2" displayName="Таблица2" ref="A1:N51" totalsRowShown="0" headerRowDxfId="75" headerRowBorderDxfId="74" tableBorderDxfId="73" totalsRowBorderDxfId="72">
  <autoFilter ref="A1:N51">
    <filterColumn colId="0" hiddenButton="1"/>
    <filterColumn colId="1" hiddenButton="1"/>
    <filterColumn colId="2" hiddenButton="1"/>
    <filterColumn colId="3" hiddenButton="1"/>
    <filterColumn colId="4"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name="Поз." dataDxfId="71"/>
    <tableColumn id="2" name="Обозначение" dataDxfId="70"/>
    <tableColumn id="3" name="Наименование" dataDxfId="69"/>
    <tableColumn id="4" name="Кол." dataDxfId="68"/>
    <tableColumn id="5" name="Толщина, мм" dataDxfId="67"/>
    <tableColumn id="14" name="Кол.проходов" dataDxfId="66">
      <calculatedColumnFormula>CEILING(Таблица2[[#This Row],[Толщина, мм]]/5,1)</calculatedColumnFormula>
    </tableColumn>
    <tableColumn id="6" name="Материал" dataDxfId="65"/>
    <tableColumn id="7" name="Масса, кг" dataDxfId="64"/>
    <tableColumn id="8" name="Технология" dataDxfId="63"/>
    <tableColumn id="9" name="Периметр -_x000a_Внешний, мм" dataDxfId="62"/>
    <tableColumn id="10" name="Периметр -_x000a_Внутренний, мм" dataDxfId="61"/>
    <tableColumn id="11" name="Общая масса, кг" dataDxfId="60">
      <calculatedColumnFormula>D2*H2</calculatedColumnFormula>
    </tableColumn>
    <tableColumn id="12" name="Стоимость _x000a_материала, руб безНДС" dataDxfId="59">
      <calculatedColumnFormula>((H2*99)/1.2)*D2</calculatedColumnFormula>
    </tableColumn>
    <tableColumn id="13" name="Стоимость _x000a_Фрезеровки, руб без НДС" dataDxfId="58">
      <calculatedColumnFormula>(((J2+K2)/1000*1.1*30*Таблица2[[#This Row],[Кол.проходов]])/1.2)*D2</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5"/>
  <sheetViews>
    <sheetView zoomScale="85" zoomScaleNormal="85" workbookViewId="0">
      <selection activeCell="C9" sqref="C9"/>
    </sheetView>
  </sheetViews>
  <sheetFormatPr defaultRowHeight="11.25" x14ac:dyDescent="0.2"/>
  <cols>
    <col min="1" max="1" width="5.6640625" bestFit="1" customWidth="1"/>
    <col min="2" max="2" width="22" customWidth="1"/>
    <col min="3" max="3" width="24.83203125" customWidth="1"/>
    <col min="4" max="5" width="12.5" customWidth="1"/>
    <col min="6" max="6" width="16.5" customWidth="1"/>
    <col min="7" max="7" width="13.6640625" customWidth="1"/>
    <col min="8" max="8" width="11.5" customWidth="1"/>
    <col min="9" max="9" width="13" customWidth="1"/>
    <col min="10" max="10" width="11.5" customWidth="1"/>
    <col min="11" max="11" width="14.1640625" customWidth="1"/>
    <col min="12" max="12" width="14.83203125" customWidth="1"/>
    <col min="13" max="13" width="13.1640625" customWidth="1"/>
    <col min="14" max="14" width="10.33203125" customWidth="1"/>
    <col min="15" max="22" width="14" customWidth="1"/>
    <col min="23" max="23" width="18.6640625" customWidth="1"/>
    <col min="24" max="24" width="17.83203125" customWidth="1"/>
    <col min="25" max="25" width="18.6640625" customWidth="1"/>
  </cols>
  <sheetData>
    <row r="1" spans="1:25" s="220" customFormat="1" ht="61.5" x14ac:dyDescent="0.2">
      <c r="A1" s="224" t="s">
        <v>29</v>
      </c>
      <c r="B1" s="219" t="s">
        <v>30</v>
      </c>
      <c r="C1" s="219" t="s">
        <v>2</v>
      </c>
      <c r="D1" s="219" t="s">
        <v>31</v>
      </c>
      <c r="E1" s="219" t="s">
        <v>256</v>
      </c>
      <c r="F1" s="219" t="s">
        <v>243</v>
      </c>
      <c r="G1" s="219" t="s">
        <v>244</v>
      </c>
      <c r="H1" s="219" t="s">
        <v>245</v>
      </c>
      <c r="I1" s="219" t="s">
        <v>246</v>
      </c>
      <c r="J1" s="219" t="s">
        <v>247</v>
      </c>
      <c r="K1" s="219" t="s">
        <v>248</v>
      </c>
      <c r="L1" s="219" t="s">
        <v>249</v>
      </c>
      <c r="M1" s="219" t="s">
        <v>250</v>
      </c>
      <c r="N1" s="219" t="s">
        <v>251</v>
      </c>
      <c r="O1" s="219" t="s">
        <v>252</v>
      </c>
      <c r="P1" s="219" t="s">
        <v>257</v>
      </c>
      <c r="Q1" s="219" t="s">
        <v>258</v>
      </c>
      <c r="R1" s="219" t="s">
        <v>259</v>
      </c>
      <c r="S1" s="219" t="s">
        <v>260</v>
      </c>
      <c r="T1" s="219" t="s">
        <v>261</v>
      </c>
      <c r="U1" s="219" t="s">
        <v>262</v>
      </c>
      <c r="V1" s="219" t="s">
        <v>263</v>
      </c>
      <c r="W1" s="219" t="s">
        <v>32</v>
      </c>
      <c r="X1" s="219" t="s">
        <v>33</v>
      </c>
      <c r="Y1" s="219" t="s">
        <v>150</v>
      </c>
    </row>
    <row r="2" spans="1:25" x14ac:dyDescent="0.2">
      <c r="A2">
        <v>1</v>
      </c>
      <c r="B2" t="s">
        <v>277</v>
      </c>
      <c r="C2" t="s">
        <v>278</v>
      </c>
      <c r="D2">
        <v>4</v>
      </c>
      <c r="E2" t="s">
        <v>279</v>
      </c>
      <c r="F2" t="s">
        <v>280</v>
      </c>
      <c r="G2" t="s">
        <v>281</v>
      </c>
      <c r="H2">
        <v>439</v>
      </c>
      <c r="I2">
        <v>1756</v>
      </c>
      <c r="J2">
        <v>1.1000000000000001</v>
      </c>
      <c r="K2">
        <v>4.4000000000000004</v>
      </c>
      <c r="L2">
        <v>0.04</v>
      </c>
      <c r="M2">
        <v>0.16</v>
      </c>
      <c r="N2">
        <v>0</v>
      </c>
      <c r="O2">
        <v>0</v>
      </c>
      <c r="P2">
        <v>0</v>
      </c>
      <c r="Q2">
        <v>0</v>
      </c>
      <c r="R2">
        <v>0</v>
      </c>
      <c r="S2">
        <v>4</v>
      </c>
      <c r="T2">
        <v>0</v>
      </c>
      <c r="U2">
        <v>0</v>
      </c>
      <c r="V2">
        <v>0</v>
      </c>
      <c r="W2" t="s">
        <v>86</v>
      </c>
      <c r="X2" t="s">
        <v>282</v>
      </c>
      <c r="Y2" t="s">
        <v>283</v>
      </c>
    </row>
    <row r="4" spans="1:25" x14ac:dyDescent="0.2">
      <c r="A4">
        <v>2</v>
      </c>
      <c r="B4" t="s">
        <v>284</v>
      </c>
      <c r="C4" t="s">
        <v>285</v>
      </c>
      <c r="D4">
        <v>4</v>
      </c>
      <c r="E4" t="s">
        <v>279</v>
      </c>
      <c r="F4" t="s">
        <v>286</v>
      </c>
      <c r="G4" t="s">
        <v>287</v>
      </c>
      <c r="H4">
        <v>1496</v>
      </c>
      <c r="I4">
        <v>5984</v>
      </c>
      <c r="J4">
        <v>4.99</v>
      </c>
      <c r="K4">
        <v>19.96</v>
      </c>
      <c r="L4">
        <v>0.215</v>
      </c>
      <c r="M4">
        <v>0.86</v>
      </c>
      <c r="N4">
        <v>1</v>
      </c>
      <c r="O4">
        <v>4</v>
      </c>
      <c r="P4">
        <v>0</v>
      </c>
      <c r="Q4">
        <v>0</v>
      </c>
      <c r="R4">
        <v>0</v>
      </c>
      <c r="S4">
        <v>0</v>
      </c>
      <c r="T4">
        <v>0</v>
      </c>
      <c r="U4">
        <v>0</v>
      </c>
      <c r="V4">
        <v>0</v>
      </c>
      <c r="W4" t="s">
        <v>86</v>
      </c>
      <c r="X4" t="s">
        <v>288</v>
      </c>
      <c r="Y4" t="s">
        <v>283</v>
      </c>
    </row>
    <row r="5" spans="1:25" x14ac:dyDescent="0.2">
      <c r="A5">
        <v>3</v>
      </c>
      <c r="B5" t="s">
        <v>289</v>
      </c>
      <c r="C5" t="s">
        <v>290</v>
      </c>
      <c r="D5">
        <v>4</v>
      </c>
      <c r="E5" t="s">
        <v>279</v>
      </c>
      <c r="F5" t="s">
        <v>286</v>
      </c>
      <c r="G5" t="s">
        <v>291</v>
      </c>
      <c r="H5">
        <v>195</v>
      </c>
      <c r="I5">
        <v>780</v>
      </c>
      <c r="J5">
        <v>1.07</v>
      </c>
      <c r="K5">
        <v>4.28</v>
      </c>
      <c r="L5">
        <v>3.5000000000000003E-2</v>
      </c>
      <c r="M5">
        <v>0.14000000000000001</v>
      </c>
      <c r="N5">
        <v>1</v>
      </c>
      <c r="O5">
        <v>4</v>
      </c>
      <c r="P5">
        <v>0</v>
      </c>
      <c r="Q5">
        <v>0</v>
      </c>
      <c r="R5">
        <v>0</v>
      </c>
      <c r="S5">
        <v>0</v>
      </c>
      <c r="T5">
        <v>0</v>
      </c>
      <c r="U5">
        <v>0</v>
      </c>
      <c r="V5">
        <v>0</v>
      </c>
      <c r="W5" t="s">
        <v>86</v>
      </c>
      <c r="X5" t="s">
        <v>288</v>
      </c>
      <c r="Y5" t="s">
        <v>283</v>
      </c>
    </row>
    <row r="6" spans="1:25" x14ac:dyDescent="0.2">
      <c r="A6">
        <v>4</v>
      </c>
      <c r="B6" t="s">
        <v>292</v>
      </c>
      <c r="C6" t="s">
        <v>293</v>
      </c>
      <c r="D6">
        <v>2</v>
      </c>
      <c r="E6" t="s">
        <v>279</v>
      </c>
      <c r="F6" t="s">
        <v>294</v>
      </c>
      <c r="G6">
        <v>16</v>
      </c>
      <c r="H6">
        <v>80</v>
      </c>
      <c r="I6">
        <v>160</v>
      </c>
      <c r="J6">
        <v>0.13</v>
      </c>
      <c r="K6">
        <v>0.26</v>
      </c>
      <c r="L6">
        <v>0</v>
      </c>
      <c r="M6">
        <v>0</v>
      </c>
      <c r="N6">
        <v>0</v>
      </c>
      <c r="O6">
        <v>0</v>
      </c>
      <c r="P6">
        <v>0</v>
      </c>
      <c r="Q6">
        <v>0</v>
      </c>
      <c r="R6">
        <v>0</v>
      </c>
      <c r="S6">
        <v>0</v>
      </c>
      <c r="T6">
        <v>0</v>
      </c>
      <c r="U6">
        <v>0</v>
      </c>
      <c r="V6">
        <v>0</v>
      </c>
      <c r="W6" t="s">
        <v>295</v>
      </c>
      <c r="X6" t="s">
        <v>296</v>
      </c>
      <c r="Y6" t="s">
        <v>283</v>
      </c>
    </row>
    <row r="7" spans="1:25" x14ac:dyDescent="0.2">
      <c r="A7">
        <v>5</v>
      </c>
      <c r="B7" t="s">
        <v>297</v>
      </c>
      <c r="C7" t="s">
        <v>298</v>
      </c>
      <c r="D7">
        <v>6</v>
      </c>
      <c r="E7" t="s">
        <v>279</v>
      </c>
      <c r="F7" t="s">
        <v>286</v>
      </c>
      <c r="G7" t="s">
        <v>299</v>
      </c>
      <c r="H7">
        <v>1110</v>
      </c>
      <c r="I7">
        <v>6660</v>
      </c>
      <c r="J7">
        <v>1.19</v>
      </c>
      <c r="K7">
        <v>7.14</v>
      </c>
      <c r="L7">
        <v>7.4999999999999997E-2</v>
      </c>
      <c r="M7">
        <v>0.45</v>
      </c>
      <c r="N7">
        <v>0</v>
      </c>
      <c r="O7">
        <v>0</v>
      </c>
      <c r="P7">
        <v>0</v>
      </c>
      <c r="Q7">
        <v>0</v>
      </c>
      <c r="R7">
        <v>0</v>
      </c>
      <c r="S7">
        <v>0</v>
      </c>
      <c r="T7">
        <v>0</v>
      </c>
      <c r="U7">
        <v>0</v>
      </c>
      <c r="V7">
        <v>0</v>
      </c>
      <c r="W7" t="s">
        <v>86</v>
      </c>
      <c r="X7" t="s">
        <v>296</v>
      </c>
      <c r="Y7" t="s">
        <v>283</v>
      </c>
    </row>
    <row r="8" spans="1:25" x14ac:dyDescent="0.2">
      <c r="A8">
        <v>6</v>
      </c>
      <c r="B8" t="s">
        <v>300</v>
      </c>
      <c r="C8" t="s">
        <v>285</v>
      </c>
      <c r="D8">
        <v>2</v>
      </c>
      <c r="E8" t="s">
        <v>279</v>
      </c>
      <c r="F8" t="s">
        <v>286</v>
      </c>
      <c r="G8" t="s">
        <v>299</v>
      </c>
      <c r="H8">
        <v>1260</v>
      </c>
      <c r="I8">
        <v>2520</v>
      </c>
      <c r="J8">
        <v>1.35</v>
      </c>
      <c r="K8">
        <v>2.7</v>
      </c>
      <c r="L8">
        <v>8.5000000000000006E-2</v>
      </c>
      <c r="M8">
        <v>0.17</v>
      </c>
      <c r="N8">
        <v>0</v>
      </c>
      <c r="O8">
        <v>0</v>
      </c>
      <c r="P8">
        <v>0</v>
      </c>
      <c r="Q8">
        <v>0</v>
      </c>
      <c r="R8">
        <v>0</v>
      </c>
      <c r="S8">
        <v>0</v>
      </c>
      <c r="T8">
        <v>0</v>
      </c>
      <c r="U8">
        <v>0</v>
      </c>
      <c r="V8">
        <v>0</v>
      </c>
      <c r="W8" t="s">
        <v>86</v>
      </c>
      <c r="X8" t="s">
        <v>296</v>
      </c>
      <c r="Y8" t="s">
        <v>283</v>
      </c>
    </row>
    <row r="9" spans="1:25" x14ac:dyDescent="0.2">
      <c r="A9">
        <v>7</v>
      </c>
      <c r="B9" t="s">
        <v>301</v>
      </c>
      <c r="C9" t="s">
        <v>298</v>
      </c>
      <c r="D9">
        <v>7</v>
      </c>
      <c r="E9" t="s">
        <v>279</v>
      </c>
      <c r="F9" t="s">
        <v>286</v>
      </c>
      <c r="G9" t="s">
        <v>299</v>
      </c>
      <c r="H9">
        <v>1866</v>
      </c>
      <c r="I9">
        <v>13062</v>
      </c>
      <c r="J9">
        <v>2</v>
      </c>
      <c r="K9">
        <v>14</v>
      </c>
      <c r="L9">
        <v>0.13</v>
      </c>
      <c r="M9">
        <v>0.91</v>
      </c>
      <c r="N9">
        <v>0</v>
      </c>
      <c r="O9">
        <v>0</v>
      </c>
      <c r="P9">
        <v>0</v>
      </c>
      <c r="Q9">
        <v>0</v>
      </c>
      <c r="R9">
        <v>0</v>
      </c>
      <c r="S9">
        <v>0</v>
      </c>
      <c r="T9">
        <v>0</v>
      </c>
      <c r="U9">
        <v>0</v>
      </c>
      <c r="V9">
        <v>0</v>
      </c>
      <c r="W9" t="s">
        <v>86</v>
      </c>
      <c r="X9" t="s">
        <v>296</v>
      </c>
      <c r="Y9" t="s">
        <v>283</v>
      </c>
    </row>
    <row r="10" spans="1:25" x14ac:dyDescent="0.2">
      <c r="A10">
        <v>8</v>
      </c>
      <c r="B10" t="s">
        <v>302</v>
      </c>
      <c r="C10" t="s">
        <v>285</v>
      </c>
      <c r="D10">
        <v>2</v>
      </c>
      <c r="E10" t="s">
        <v>279</v>
      </c>
      <c r="F10" t="s">
        <v>286</v>
      </c>
      <c r="G10" t="s">
        <v>299</v>
      </c>
      <c r="H10">
        <v>645</v>
      </c>
      <c r="I10">
        <v>1290</v>
      </c>
      <c r="J10">
        <v>0.69</v>
      </c>
      <c r="K10">
        <v>1.38</v>
      </c>
      <c r="L10">
        <v>4.4999999999999998E-2</v>
      </c>
      <c r="M10">
        <v>0.09</v>
      </c>
      <c r="N10">
        <v>0</v>
      </c>
      <c r="O10">
        <v>0</v>
      </c>
      <c r="P10">
        <v>0</v>
      </c>
      <c r="Q10">
        <v>0</v>
      </c>
      <c r="R10">
        <v>0</v>
      </c>
      <c r="S10">
        <v>0</v>
      </c>
      <c r="T10">
        <v>0</v>
      </c>
      <c r="U10">
        <v>0</v>
      </c>
      <c r="V10">
        <v>0</v>
      </c>
      <c r="W10" t="s">
        <v>295</v>
      </c>
      <c r="X10" t="s">
        <v>296</v>
      </c>
      <c r="Y10" t="s">
        <v>283</v>
      </c>
    </row>
    <row r="11" spans="1:25" x14ac:dyDescent="0.2">
      <c r="A11">
        <v>9</v>
      </c>
      <c r="B11" t="s">
        <v>303</v>
      </c>
      <c r="C11" t="s">
        <v>285</v>
      </c>
      <c r="D11">
        <v>2</v>
      </c>
      <c r="E11" t="s">
        <v>279</v>
      </c>
      <c r="F11" t="s">
        <v>286</v>
      </c>
      <c r="G11" t="s">
        <v>299</v>
      </c>
      <c r="H11">
        <v>615</v>
      </c>
      <c r="I11">
        <v>1230</v>
      </c>
      <c r="J11">
        <v>0.66</v>
      </c>
      <c r="K11">
        <v>1.32</v>
      </c>
      <c r="L11">
        <v>0.04</v>
      </c>
      <c r="M11">
        <v>0.08</v>
      </c>
      <c r="N11">
        <v>0</v>
      </c>
      <c r="O11">
        <v>0</v>
      </c>
      <c r="P11">
        <v>0</v>
      </c>
      <c r="Q11">
        <v>0</v>
      </c>
      <c r="R11">
        <v>0</v>
      </c>
      <c r="S11">
        <v>0</v>
      </c>
      <c r="T11">
        <v>0</v>
      </c>
      <c r="U11">
        <v>0</v>
      </c>
      <c r="V11">
        <v>0</v>
      </c>
      <c r="W11" t="s">
        <v>86</v>
      </c>
      <c r="X11" t="s">
        <v>296</v>
      </c>
      <c r="Y11" t="s">
        <v>283</v>
      </c>
    </row>
    <row r="12" spans="1:25" x14ac:dyDescent="0.2">
      <c r="A12">
        <v>10</v>
      </c>
      <c r="B12" t="s">
        <v>304</v>
      </c>
      <c r="C12" t="s">
        <v>305</v>
      </c>
      <c r="D12">
        <v>2</v>
      </c>
      <c r="E12" t="s">
        <v>279</v>
      </c>
      <c r="F12" t="s">
        <v>286</v>
      </c>
      <c r="G12" t="s">
        <v>287</v>
      </c>
      <c r="H12">
        <v>1900</v>
      </c>
      <c r="I12">
        <v>3800</v>
      </c>
      <c r="J12">
        <v>6.47</v>
      </c>
      <c r="K12">
        <v>12.94</v>
      </c>
      <c r="L12">
        <v>0.27500000000000002</v>
      </c>
      <c r="M12">
        <v>0.55000000000000004</v>
      </c>
      <c r="N12">
        <v>0</v>
      </c>
      <c r="O12">
        <v>0</v>
      </c>
      <c r="P12">
        <v>0</v>
      </c>
      <c r="Q12">
        <v>0</v>
      </c>
      <c r="R12">
        <v>0</v>
      </c>
      <c r="S12">
        <v>0</v>
      </c>
      <c r="T12">
        <v>0</v>
      </c>
      <c r="U12">
        <v>0</v>
      </c>
      <c r="V12">
        <v>0</v>
      </c>
      <c r="W12" t="s">
        <v>86</v>
      </c>
      <c r="X12" t="s">
        <v>296</v>
      </c>
      <c r="Y12" t="s">
        <v>283</v>
      </c>
    </row>
    <row r="13" spans="1:25" x14ac:dyDescent="0.2">
      <c r="A13">
        <v>11</v>
      </c>
      <c r="B13" t="s">
        <v>306</v>
      </c>
      <c r="C13" t="s">
        <v>307</v>
      </c>
      <c r="D13">
        <v>4</v>
      </c>
      <c r="E13" t="s">
        <v>279</v>
      </c>
      <c r="F13" t="s">
        <v>286</v>
      </c>
      <c r="G13" t="s">
        <v>287</v>
      </c>
      <c r="H13">
        <v>1100</v>
      </c>
      <c r="I13">
        <v>4400</v>
      </c>
      <c r="J13">
        <v>3.74</v>
      </c>
      <c r="K13">
        <v>14.96</v>
      </c>
      <c r="L13">
        <v>0.16</v>
      </c>
      <c r="M13">
        <v>0.64</v>
      </c>
      <c r="N13">
        <v>0</v>
      </c>
      <c r="O13">
        <v>0</v>
      </c>
      <c r="P13">
        <v>0</v>
      </c>
      <c r="Q13">
        <v>0</v>
      </c>
      <c r="R13">
        <v>0</v>
      </c>
      <c r="S13">
        <v>0</v>
      </c>
      <c r="T13">
        <v>0</v>
      </c>
      <c r="U13">
        <v>0</v>
      </c>
      <c r="V13">
        <v>0</v>
      </c>
      <c r="W13" t="s">
        <v>86</v>
      </c>
      <c r="X13" t="s">
        <v>296</v>
      </c>
      <c r="Y13" t="s">
        <v>283</v>
      </c>
    </row>
    <row r="14" spans="1:25" x14ac:dyDescent="0.2">
      <c r="A14">
        <v>12</v>
      </c>
      <c r="B14" t="s">
        <v>308</v>
      </c>
      <c r="C14" t="s">
        <v>309</v>
      </c>
      <c r="D14">
        <v>3</v>
      </c>
      <c r="E14" t="s">
        <v>279</v>
      </c>
      <c r="F14" t="s">
        <v>286</v>
      </c>
      <c r="G14" t="s">
        <v>287</v>
      </c>
      <c r="H14">
        <v>1110</v>
      </c>
      <c r="I14">
        <v>3330</v>
      </c>
      <c r="J14">
        <v>3.71</v>
      </c>
      <c r="K14">
        <v>11.13</v>
      </c>
      <c r="L14">
        <v>0.16</v>
      </c>
      <c r="M14">
        <v>0.48</v>
      </c>
      <c r="N14">
        <v>0</v>
      </c>
      <c r="O14">
        <v>0</v>
      </c>
      <c r="P14">
        <v>0</v>
      </c>
      <c r="Q14">
        <v>0</v>
      </c>
      <c r="R14">
        <v>0</v>
      </c>
      <c r="S14">
        <v>0</v>
      </c>
      <c r="T14">
        <v>0</v>
      </c>
      <c r="U14">
        <v>0</v>
      </c>
      <c r="V14">
        <v>0</v>
      </c>
      <c r="W14" t="s">
        <v>86</v>
      </c>
      <c r="X14" t="s">
        <v>296</v>
      </c>
      <c r="Y14" t="s">
        <v>283</v>
      </c>
    </row>
    <row r="15" spans="1:25" x14ac:dyDescent="0.2">
      <c r="A15">
        <v>13</v>
      </c>
      <c r="B15" t="s">
        <v>310</v>
      </c>
      <c r="C15" t="s">
        <v>311</v>
      </c>
      <c r="D15">
        <v>4</v>
      </c>
      <c r="E15" t="s">
        <v>279</v>
      </c>
      <c r="F15" t="s">
        <v>286</v>
      </c>
      <c r="G15" t="s">
        <v>287</v>
      </c>
      <c r="H15">
        <v>447.5</v>
      </c>
      <c r="I15">
        <v>1790</v>
      </c>
      <c r="J15">
        <v>1.5</v>
      </c>
      <c r="K15">
        <v>6</v>
      </c>
      <c r="L15">
        <v>6.5000000000000002E-2</v>
      </c>
      <c r="M15">
        <v>0.26</v>
      </c>
      <c r="N15">
        <v>0</v>
      </c>
      <c r="O15">
        <v>0</v>
      </c>
      <c r="P15">
        <v>0</v>
      </c>
      <c r="Q15">
        <v>0</v>
      </c>
      <c r="R15">
        <v>0</v>
      </c>
      <c r="S15">
        <v>0</v>
      </c>
      <c r="T15">
        <v>0</v>
      </c>
      <c r="U15">
        <v>0</v>
      </c>
      <c r="V15">
        <v>0</v>
      </c>
      <c r="W15" t="s">
        <v>86</v>
      </c>
      <c r="X15" t="s">
        <v>296</v>
      </c>
      <c r="Y15" t="s">
        <v>283</v>
      </c>
    </row>
    <row r="16" spans="1:25" x14ac:dyDescent="0.2">
      <c r="A16">
        <v>14</v>
      </c>
      <c r="B16" t="s">
        <v>312</v>
      </c>
      <c r="C16" t="s">
        <v>313</v>
      </c>
      <c r="D16">
        <v>3</v>
      </c>
      <c r="E16" t="s">
        <v>279</v>
      </c>
      <c r="F16" t="s">
        <v>286</v>
      </c>
      <c r="G16" t="s">
        <v>287</v>
      </c>
      <c r="H16">
        <v>120</v>
      </c>
      <c r="I16">
        <v>360</v>
      </c>
      <c r="J16">
        <v>0.4</v>
      </c>
      <c r="K16">
        <v>1.2</v>
      </c>
      <c r="L16">
        <v>0.02</v>
      </c>
      <c r="M16">
        <v>0.06</v>
      </c>
      <c r="N16">
        <v>0</v>
      </c>
      <c r="O16">
        <v>0</v>
      </c>
      <c r="P16">
        <v>0</v>
      </c>
      <c r="Q16">
        <v>0</v>
      </c>
      <c r="R16">
        <v>0</v>
      </c>
      <c r="S16">
        <v>0</v>
      </c>
      <c r="T16">
        <v>0</v>
      </c>
      <c r="U16">
        <v>0</v>
      </c>
      <c r="V16">
        <v>0</v>
      </c>
      <c r="W16" t="s">
        <v>86</v>
      </c>
      <c r="X16" t="s">
        <v>296</v>
      </c>
      <c r="Y16" t="s">
        <v>283</v>
      </c>
    </row>
    <row r="17" spans="1:25" x14ac:dyDescent="0.2">
      <c r="A17">
        <v>15</v>
      </c>
      <c r="B17" t="s">
        <v>314</v>
      </c>
      <c r="C17" t="s">
        <v>307</v>
      </c>
      <c r="D17">
        <v>1</v>
      </c>
      <c r="E17" t="s">
        <v>279</v>
      </c>
      <c r="F17" t="s">
        <v>286</v>
      </c>
      <c r="G17" t="s">
        <v>287</v>
      </c>
      <c r="H17">
        <v>1110</v>
      </c>
      <c r="I17">
        <v>1110</v>
      </c>
      <c r="J17">
        <v>3.78</v>
      </c>
      <c r="K17">
        <v>3.78</v>
      </c>
      <c r="L17">
        <v>0.16</v>
      </c>
      <c r="M17">
        <v>0.16</v>
      </c>
      <c r="N17">
        <v>0</v>
      </c>
      <c r="O17">
        <v>0</v>
      </c>
      <c r="P17">
        <v>0</v>
      </c>
      <c r="Q17">
        <v>0</v>
      </c>
      <c r="R17">
        <v>0</v>
      </c>
      <c r="S17">
        <v>0</v>
      </c>
      <c r="T17">
        <v>0</v>
      </c>
      <c r="U17">
        <v>0</v>
      </c>
      <c r="V17">
        <v>0</v>
      </c>
      <c r="W17" t="s">
        <v>86</v>
      </c>
      <c r="X17" t="s">
        <v>296</v>
      </c>
      <c r="Y17" t="s">
        <v>283</v>
      </c>
    </row>
    <row r="18" spans="1:25" x14ac:dyDescent="0.2">
      <c r="A18">
        <v>16</v>
      </c>
      <c r="B18" t="s">
        <v>315</v>
      </c>
      <c r="C18" t="s">
        <v>313</v>
      </c>
      <c r="D18">
        <v>2</v>
      </c>
      <c r="E18" t="s">
        <v>279</v>
      </c>
      <c r="F18" t="s">
        <v>286</v>
      </c>
      <c r="G18" t="s">
        <v>287</v>
      </c>
      <c r="H18">
        <v>155</v>
      </c>
      <c r="I18">
        <v>310</v>
      </c>
      <c r="J18">
        <v>0.52</v>
      </c>
      <c r="K18">
        <v>1.04</v>
      </c>
      <c r="L18">
        <v>2.5000000000000001E-2</v>
      </c>
      <c r="M18">
        <v>0.05</v>
      </c>
      <c r="N18">
        <v>0</v>
      </c>
      <c r="O18">
        <v>0</v>
      </c>
      <c r="P18">
        <v>0</v>
      </c>
      <c r="Q18">
        <v>0</v>
      </c>
      <c r="R18">
        <v>0</v>
      </c>
      <c r="S18">
        <v>0</v>
      </c>
      <c r="T18">
        <v>0</v>
      </c>
      <c r="U18">
        <v>0</v>
      </c>
      <c r="V18">
        <v>0</v>
      </c>
      <c r="W18" t="s">
        <v>86</v>
      </c>
      <c r="X18" t="s">
        <v>296</v>
      </c>
      <c r="Y18" t="s">
        <v>283</v>
      </c>
    </row>
    <row r="20" spans="1:25" x14ac:dyDescent="0.2">
      <c r="A20">
        <v>17</v>
      </c>
      <c r="B20" t="s">
        <v>316</v>
      </c>
      <c r="C20" t="s">
        <v>317</v>
      </c>
      <c r="D20">
        <v>4</v>
      </c>
      <c r="E20" t="s">
        <v>279</v>
      </c>
      <c r="F20" t="s">
        <v>318</v>
      </c>
      <c r="G20">
        <v>2</v>
      </c>
      <c r="H20">
        <v>0</v>
      </c>
      <c r="I20">
        <v>0</v>
      </c>
      <c r="J20">
        <v>0.04</v>
      </c>
      <c r="K20">
        <v>0.16</v>
      </c>
      <c r="L20">
        <v>0.01</v>
      </c>
      <c r="M20">
        <v>0.04</v>
      </c>
      <c r="N20">
        <v>0</v>
      </c>
      <c r="O20">
        <v>0</v>
      </c>
      <c r="P20">
        <v>0</v>
      </c>
      <c r="Q20">
        <v>0</v>
      </c>
      <c r="R20">
        <v>0</v>
      </c>
      <c r="S20">
        <v>2</v>
      </c>
      <c r="T20">
        <v>1</v>
      </c>
      <c r="U20">
        <v>207.59</v>
      </c>
      <c r="V20">
        <v>31.52</v>
      </c>
      <c r="W20" t="s">
        <v>85</v>
      </c>
      <c r="X20" t="s">
        <v>319</v>
      </c>
      <c r="Y20" t="s">
        <v>320</v>
      </c>
    </row>
    <row r="21" spans="1:25" x14ac:dyDescent="0.2">
      <c r="A21">
        <v>18</v>
      </c>
      <c r="B21" t="s">
        <v>321</v>
      </c>
      <c r="C21" t="s">
        <v>317</v>
      </c>
      <c r="D21">
        <v>12</v>
      </c>
      <c r="E21" t="s">
        <v>279</v>
      </c>
      <c r="F21" t="s">
        <v>318</v>
      </c>
      <c r="G21">
        <v>2</v>
      </c>
      <c r="H21">
        <v>0</v>
      </c>
      <c r="I21">
        <v>0</v>
      </c>
      <c r="J21">
        <v>0.01</v>
      </c>
      <c r="K21">
        <v>0.12</v>
      </c>
      <c r="L21">
        <v>0</v>
      </c>
      <c r="M21">
        <v>0</v>
      </c>
      <c r="N21">
        <v>0</v>
      </c>
      <c r="O21">
        <v>0</v>
      </c>
      <c r="P21">
        <v>0</v>
      </c>
      <c r="Q21">
        <v>0</v>
      </c>
      <c r="R21">
        <v>0</v>
      </c>
      <c r="S21">
        <v>2</v>
      </c>
      <c r="T21">
        <v>0</v>
      </c>
      <c r="U21">
        <v>121.59</v>
      </c>
      <c r="V21">
        <v>0</v>
      </c>
      <c r="W21" t="s">
        <v>85</v>
      </c>
      <c r="X21" t="s">
        <v>319</v>
      </c>
      <c r="Y21" t="s">
        <v>320</v>
      </c>
    </row>
    <row r="22" spans="1:25" x14ac:dyDescent="0.2">
      <c r="A22">
        <v>19</v>
      </c>
      <c r="B22" t="s">
        <v>322</v>
      </c>
      <c r="C22" t="s">
        <v>323</v>
      </c>
      <c r="D22">
        <v>2</v>
      </c>
      <c r="E22" t="s">
        <v>279</v>
      </c>
      <c r="F22" t="s">
        <v>318</v>
      </c>
      <c r="G22">
        <v>5</v>
      </c>
      <c r="H22">
        <v>0</v>
      </c>
      <c r="I22">
        <v>0</v>
      </c>
      <c r="J22">
        <v>0.39</v>
      </c>
      <c r="K22">
        <v>0.78</v>
      </c>
      <c r="L22">
        <v>0.02</v>
      </c>
      <c r="M22">
        <v>0.04</v>
      </c>
      <c r="N22">
        <v>0</v>
      </c>
      <c r="O22">
        <v>0</v>
      </c>
      <c r="P22">
        <v>0</v>
      </c>
      <c r="Q22">
        <v>0</v>
      </c>
      <c r="R22">
        <v>0</v>
      </c>
      <c r="S22">
        <v>3</v>
      </c>
      <c r="T22">
        <v>1</v>
      </c>
      <c r="U22">
        <v>542.84</v>
      </c>
      <c r="V22">
        <v>94.25</v>
      </c>
      <c r="W22" t="s">
        <v>86</v>
      </c>
      <c r="X22" t="s">
        <v>319</v>
      </c>
      <c r="Y22" t="s">
        <v>320</v>
      </c>
    </row>
    <row r="23" spans="1:25" x14ac:dyDescent="0.2">
      <c r="A23">
        <v>20</v>
      </c>
      <c r="B23" t="s">
        <v>324</v>
      </c>
      <c r="C23" t="s">
        <v>323</v>
      </c>
      <c r="D23">
        <v>2</v>
      </c>
      <c r="E23" t="s">
        <v>279</v>
      </c>
      <c r="F23" t="s">
        <v>318</v>
      </c>
      <c r="G23">
        <v>5</v>
      </c>
      <c r="H23">
        <v>0</v>
      </c>
      <c r="I23">
        <v>0</v>
      </c>
      <c r="J23">
        <v>0.39</v>
      </c>
      <c r="K23">
        <v>0.78</v>
      </c>
      <c r="L23">
        <v>0.02</v>
      </c>
      <c r="M23">
        <v>0.04</v>
      </c>
      <c r="N23">
        <v>0</v>
      </c>
      <c r="O23">
        <v>0</v>
      </c>
      <c r="P23">
        <v>0</v>
      </c>
      <c r="Q23">
        <v>0</v>
      </c>
      <c r="R23">
        <v>0</v>
      </c>
      <c r="S23">
        <v>3</v>
      </c>
      <c r="T23">
        <v>1</v>
      </c>
      <c r="U23">
        <v>542.84</v>
      </c>
      <c r="V23">
        <v>94.25</v>
      </c>
      <c r="W23" t="s">
        <v>86</v>
      </c>
      <c r="X23" t="s">
        <v>319</v>
      </c>
      <c r="Y23" t="s">
        <v>320</v>
      </c>
    </row>
    <row r="24" spans="1:25" x14ac:dyDescent="0.2">
      <c r="A24">
        <v>21</v>
      </c>
      <c r="B24" t="s">
        <v>325</v>
      </c>
      <c r="C24" t="s">
        <v>326</v>
      </c>
      <c r="D24">
        <v>4</v>
      </c>
      <c r="E24" t="s">
        <v>279</v>
      </c>
      <c r="F24" t="s">
        <v>318</v>
      </c>
      <c r="G24">
        <v>2</v>
      </c>
      <c r="H24">
        <v>0</v>
      </c>
      <c r="I24">
        <v>0</v>
      </c>
      <c r="J24">
        <v>0.02</v>
      </c>
      <c r="K24">
        <v>0.08</v>
      </c>
      <c r="L24">
        <v>0</v>
      </c>
      <c r="M24">
        <v>0</v>
      </c>
      <c r="N24">
        <v>0</v>
      </c>
      <c r="O24">
        <v>0</v>
      </c>
      <c r="P24">
        <v>0</v>
      </c>
      <c r="Q24">
        <v>0</v>
      </c>
      <c r="R24">
        <v>0</v>
      </c>
      <c r="S24">
        <v>0</v>
      </c>
      <c r="T24">
        <v>0</v>
      </c>
      <c r="U24">
        <v>153.13</v>
      </c>
      <c r="V24">
        <v>0</v>
      </c>
      <c r="W24" t="s">
        <v>85</v>
      </c>
      <c r="X24" t="s">
        <v>327</v>
      </c>
      <c r="Y24" t="s">
        <v>320</v>
      </c>
    </row>
    <row r="25" spans="1:25" x14ac:dyDescent="0.2">
      <c r="A25">
        <v>22</v>
      </c>
      <c r="B25" t="s">
        <v>328</v>
      </c>
      <c r="C25" t="s">
        <v>329</v>
      </c>
      <c r="D25">
        <v>2</v>
      </c>
      <c r="E25" t="s">
        <v>279</v>
      </c>
      <c r="F25" t="s">
        <v>318</v>
      </c>
      <c r="G25">
        <v>5</v>
      </c>
      <c r="H25">
        <v>0</v>
      </c>
      <c r="I25">
        <v>0</v>
      </c>
      <c r="J25">
        <v>0.18</v>
      </c>
      <c r="K25">
        <v>0.36</v>
      </c>
      <c r="L25">
        <v>0.01</v>
      </c>
      <c r="M25">
        <v>0.02</v>
      </c>
      <c r="N25">
        <v>0</v>
      </c>
      <c r="O25">
        <v>0</v>
      </c>
      <c r="P25">
        <v>0</v>
      </c>
      <c r="Q25">
        <v>0</v>
      </c>
      <c r="R25">
        <v>0</v>
      </c>
      <c r="S25">
        <v>0</v>
      </c>
      <c r="T25">
        <v>2</v>
      </c>
      <c r="U25">
        <v>311.42</v>
      </c>
      <c r="V25">
        <v>75.98</v>
      </c>
      <c r="W25" t="s">
        <v>295</v>
      </c>
      <c r="X25" t="s">
        <v>327</v>
      </c>
      <c r="Y25" t="s">
        <v>320</v>
      </c>
    </row>
    <row r="26" spans="1:25" x14ac:dyDescent="0.2">
      <c r="A26">
        <v>23</v>
      </c>
      <c r="B26" t="s">
        <v>330</v>
      </c>
      <c r="C26" t="s">
        <v>331</v>
      </c>
      <c r="D26">
        <v>4</v>
      </c>
      <c r="E26" t="s">
        <v>279</v>
      </c>
      <c r="F26" t="s">
        <v>318</v>
      </c>
      <c r="G26">
        <v>5</v>
      </c>
      <c r="H26">
        <v>0</v>
      </c>
      <c r="I26">
        <v>0</v>
      </c>
      <c r="J26">
        <v>0.45</v>
      </c>
      <c r="K26">
        <v>1.8</v>
      </c>
      <c r="L26">
        <v>0.03</v>
      </c>
      <c r="M26">
        <v>0.12</v>
      </c>
      <c r="N26">
        <v>0</v>
      </c>
      <c r="O26">
        <v>0</v>
      </c>
      <c r="P26">
        <v>0</v>
      </c>
      <c r="Q26">
        <v>0</v>
      </c>
      <c r="R26">
        <v>0</v>
      </c>
      <c r="S26">
        <v>0</v>
      </c>
      <c r="T26">
        <v>0</v>
      </c>
      <c r="U26">
        <v>470.97</v>
      </c>
      <c r="V26">
        <v>0</v>
      </c>
      <c r="W26" t="s">
        <v>86</v>
      </c>
      <c r="X26" t="s">
        <v>327</v>
      </c>
      <c r="Y26" t="s">
        <v>320</v>
      </c>
    </row>
    <row r="27" spans="1:25" x14ac:dyDescent="0.2">
      <c r="A27">
        <v>24</v>
      </c>
      <c r="B27" t="s">
        <v>332</v>
      </c>
      <c r="C27" t="s">
        <v>326</v>
      </c>
      <c r="D27">
        <v>4</v>
      </c>
      <c r="E27" t="s">
        <v>279</v>
      </c>
      <c r="F27" t="s">
        <v>318</v>
      </c>
      <c r="G27">
        <v>5</v>
      </c>
      <c r="H27">
        <v>0</v>
      </c>
      <c r="I27">
        <v>0</v>
      </c>
      <c r="J27">
        <v>0.1</v>
      </c>
      <c r="K27">
        <v>0.4</v>
      </c>
      <c r="L27">
        <v>0.01</v>
      </c>
      <c r="M27">
        <v>0.04</v>
      </c>
      <c r="N27">
        <v>0</v>
      </c>
      <c r="O27">
        <v>0</v>
      </c>
      <c r="P27">
        <v>0</v>
      </c>
      <c r="Q27">
        <v>0</v>
      </c>
      <c r="R27">
        <v>0</v>
      </c>
      <c r="S27">
        <v>0</v>
      </c>
      <c r="T27">
        <v>0</v>
      </c>
      <c r="U27">
        <v>189.7</v>
      </c>
      <c r="V27">
        <v>0</v>
      </c>
      <c r="W27" t="s">
        <v>295</v>
      </c>
      <c r="X27" t="s">
        <v>327</v>
      </c>
      <c r="Y27" t="s">
        <v>320</v>
      </c>
    </row>
    <row r="28" spans="1:25" x14ac:dyDescent="0.2">
      <c r="A28">
        <v>25</v>
      </c>
      <c r="B28" t="s">
        <v>333</v>
      </c>
      <c r="C28" t="s">
        <v>334</v>
      </c>
      <c r="D28">
        <v>2</v>
      </c>
      <c r="E28" t="s">
        <v>279</v>
      </c>
      <c r="F28" t="s">
        <v>318</v>
      </c>
      <c r="G28">
        <v>5</v>
      </c>
      <c r="H28">
        <v>0</v>
      </c>
      <c r="I28">
        <v>0</v>
      </c>
      <c r="J28">
        <v>0.06</v>
      </c>
      <c r="K28">
        <v>0.12</v>
      </c>
      <c r="L28">
        <v>0</v>
      </c>
      <c r="M28">
        <v>0</v>
      </c>
      <c r="N28">
        <v>0</v>
      </c>
      <c r="O28">
        <v>0</v>
      </c>
      <c r="P28">
        <v>0</v>
      </c>
      <c r="Q28">
        <v>0</v>
      </c>
      <c r="R28">
        <v>0</v>
      </c>
      <c r="S28">
        <v>0</v>
      </c>
      <c r="T28">
        <v>0</v>
      </c>
      <c r="U28">
        <v>152.27000000000001</v>
      </c>
      <c r="V28">
        <v>0</v>
      </c>
      <c r="W28" t="s">
        <v>295</v>
      </c>
      <c r="X28" t="s">
        <v>327</v>
      </c>
      <c r="Y28" t="s">
        <v>320</v>
      </c>
    </row>
    <row r="29" spans="1:25" x14ac:dyDescent="0.2">
      <c r="A29">
        <v>26</v>
      </c>
      <c r="B29" t="s">
        <v>335</v>
      </c>
      <c r="C29" t="s">
        <v>336</v>
      </c>
      <c r="D29">
        <v>8</v>
      </c>
      <c r="E29" t="s">
        <v>279</v>
      </c>
      <c r="F29" t="s">
        <v>318</v>
      </c>
      <c r="G29">
        <v>5</v>
      </c>
      <c r="H29">
        <v>0</v>
      </c>
      <c r="I29">
        <v>0</v>
      </c>
      <c r="J29">
        <v>0.06</v>
      </c>
      <c r="K29">
        <v>0.48</v>
      </c>
      <c r="L29">
        <v>0</v>
      </c>
      <c r="M29">
        <v>0</v>
      </c>
      <c r="N29">
        <v>0</v>
      </c>
      <c r="O29">
        <v>0</v>
      </c>
      <c r="P29">
        <v>0</v>
      </c>
      <c r="Q29">
        <v>0</v>
      </c>
      <c r="R29">
        <v>0</v>
      </c>
      <c r="S29">
        <v>0</v>
      </c>
      <c r="T29">
        <v>0</v>
      </c>
      <c r="U29">
        <v>153.13</v>
      </c>
      <c r="V29">
        <v>0</v>
      </c>
      <c r="W29" t="s">
        <v>86</v>
      </c>
      <c r="X29" t="s">
        <v>327</v>
      </c>
      <c r="Y29" t="s">
        <v>320</v>
      </c>
    </row>
    <row r="30" spans="1:25" x14ac:dyDescent="0.2">
      <c r="A30">
        <v>27</v>
      </c>
      <c r="B30" t="s">
        <v>337</v>
      </c>
      <c r="C30" t="s">
        <v>338</v>
      </c>
      <c r="D30">
        <v>13</v>
      </c>
      <c r="E30" t="s">
        <v>279</v>
      </c>
      <c r="F30" t="s">
        <v>318</v>
      </c>
      <c r="G30">
        <v>5</v>
      </c>
      <c r="H30">
        <v>0</v>
      </c>
      <c r="I30">
        <v>0</v>
      </c>
      <c r="J30">
        <v>7.0000000000000007E-2</v>
      </c>
      <c r="K30">
        <v>0.91</v>
      </c>
      <c r="L30">
        <v>0</v>
      </c>
      <c r="M30">
        <v>0</v>
      </c>
      <c r="N30">
        <v>0</v>
      </c>
      <c r="O30">
        <v>0</v>
      </c>
      <c r="P30">
        <v>0</v>
      </c>
      <c r="Q30">
        <v>0</v>
      </c>
      <c r="R30">
        <v>0</v>
      </c>
      <c r="S30">
        <v>0</v>
      </c>
      <c r="T30">
        <v>0</v>
      </c>
      <c r="U30">
        <v>191.71</v>
      </c>
      <c r="V30">
        <v>0</v>
      </c>
      <c r="W30" t="s">
        <v>86</v>
      </c>
      <c r="X30" t="s">
        <v>327</v>
      </c>
      <c r="Y30" t="s">
        <v>320</v>
      </c>
    </row>
    <row r="32" spans="1:25" x14ac:dyDescent="0.2">
      <c r="A32">
        <v>28</v>
      </c>
      <c r="B32" t="s">
        <v>339</v>
      </c>
      <c r="C32" t="s">
        <v>340</v>
      </c>
      <c r="D32">
        <v>1</v>
      </c>
      <c r="E32" t="s">
        <v>279</v>
      </c>
      <c r="F32" t="s">
        <v>341</v>
      </c>
      <c r="G32">
        <v>4</v>
      </c>
      <c r="H32">
        <v>0</v>
      </c>
      <c r="I32">
        <v>0</v>
      </c>
      <c r="J32">
        <v>9.0299999999999994</v>
      </c>
      <c r="K32">
        <v>9.0299999999999994</v>
      </c>
      <c r="L32">
        <v>0</v>
      </c>
      <c r="M32">
        <v>0</v>
      </c>
      <c r="N32">
        <v>0</v>
      </c>
      <c r="O32">
        <v>0</v>
      </c>
      <c r="P32">
        <v>0</v>
      </c>
      <c r="Q32">
        <v>0</v>
      </c>
      <c r="R32">
        <v>0</v>
      </c>
      <c r="S32">
        <v>0</v>
      </c>
      <c r="T32">
        <v>0</v>
      </c>
      <c r="U32">
        <v>0</v>
      </c>
      <c r="V32">
        <v>0</v>
      </c>
      <c r="W32" t="s">
        <v>295</v>
      </c>
      <c r="X32" t="s">
        <v>342</v>
      </c>
      <c r="Y32" t="s">
        <v>283</v>
      </c>
    </row>
    <row r="33" spans="1:25" x14ac:dyDescent="0.2">
      <c r="A33">
        <v>29</v>
      </c>
      <c r="B33" t="s">
        <v>343</v>
      </c>
      <c r="C33" t="s">
        <v>344</v>
      </c>
      <c r="D33">
        <v>2</v>
      </c>
      <c r="E33" t="s">
        <v>279</v>
      </c>
      <c r="F33" t="s">
        <v>341</v>
      </c>
      <c r="G33">
        <v>4</v>
      </c>
      <c r="H33">
        <v>0</v>
      </c>
      <c r="I33">
        <v>0</v>
      </c>
      <c r="J33">
        <v>5.97</v>
      </c>
      <c r="K33">
        <v>11.94</v>
      </c>
      <c r="L33">
        <v>0</v>
      </c>
      <c r="M33">
        <v>0</v>
      </c>
      <c r="N33">
        <v>0</v>
      </c>
      <c r="O33">
        <v>0</v>
      </c>
      <c r="P33">
        <v>0</v>
      </c>
      <c r="Q33">
        <v>0</v>
      </c>
      <c r="R33">
        <v>0</v>
      </c>
      <c r="S33">
        <v>0</v>
      </c>
      <c r="T33">
        <v>0</v>
      </c>
      <c r="U33">
        <v>0</v>
      </c>
      <c r="V33">
        <v>0</v>
      </c>
      <c r="W33" t="s">
        <v>295</v>
      </c>
      <c r="X33" t="s">
        <v>342</v>
      </c>
      <c r="Y33" t="s">
        <v>283</v>
      </c>
    </row>
    <row r="34" spans="1:25" x14ac:dyDescent="0.2">
      <c r="A34">
        <v>30</v>
      </c>
      <c r="B34" t="s">
        <v>345</v>
      </c>
      <c r="C34" t="s">
        <v>346</v>
      </c>
      <c r="D34">
        <v>2</v>
      </c>
      <c r="E34" t="s">
        <v>279</v>
      </c>
      <c r="F34" t="s">
        <v>341</v>
      </c>
      <c r="G34">
        <v>4</v>
      </c>
      <c r="H34">
        <v>0</v>
      </c>
      <c r="I34">
        <v>0</v>
      </c>
      <c r="J34">
        <v>4.6500000000000004</v>
      </c>
      <c r="K34">
        <v>9.3000000000000007</v>
      </c>
      <c r="L34">
        <v>0</v>
      </c>
      <c r="M34">
        <v>0</v>
      </c>
      <c r="N34">
        <v>0</v>
      </c>
      <c r="O34">
        <v>0</v>
      </c>
      <c r="P34">
        <v>0</v>
      </c>
      <c r="Q34">
        <v>0</v>
      </c>
      <c r="R34">
        <v>0</v>
      </c>
      <c r="S34">
        <v>0</v>
      </c>
      <c r="T34">
        <v>0</v>
      </c>
      <c r="U34">
        <v>0</v>
      </c>
      <c r="V34">
        <v>0</v>
      </c>
      <c r="W34" t="s">
        <v>295</v>
      </c>
      <c r="X34" t="s">
        <v>342</v>
      </c>
      <c r="Y34" t="s">
        <v>283</v>
      </c>
    </row>
    <row r="35" spans="1:25" x14ac:dyDescent="0.2">
      <c r="A35">
        <v>31</v>
      </c>
      <c r="B35" t="s">
        <v>347</v>
      </c>
      <c r="C35" t="s">
        <v>348</v>
      </c>
      <c r="D35">
        <v>1</v>
      </c>
      <c r="E35" t="s">
        <v>279</v>
      </c>
      <c r="F35" t="s">
        <v>341</v>
      </c>
      <c r="G35">
        <v>4</v>
      </c>
      <c r="H35">
        <v>0</v>
      </c>
      <c r="I35">
        <v>0</v>
      </c>
      <c r="J35">
        <v>4.67</v>
      </c>
      <c r="K35">
        <v>4.67</v>
      </c>
      <c r="L35">
        <v>0</v>
      </c>
      <c r="M35">
        <v>0</v>
      </c>
      <c r="N35">
        <v>0</v>
      </c>
      <c r="O35">
        <v>0</v>
      </c>
      <c r="P35">
        <v>0</v>
      </c>
      <c r="Q35">
        <v>0</v>
      </c>
      <c r="R35">
        <v>0</v>
      </c>
      <c r="S35">
        <v>0</v>
      </c>
      <c r="T35">
        <v>0</v>
      </c>
      <c r="U35">
        <v>0</v>
      </c>
      <c r="V35">
        <v>0</v>
      </c>
      <c r="W35" t="s">
        <v>295</v>
      </c>
      <c r="X35" t="s">
        <v>342</v>
      </c>
      <c r="Y35" t="s">
        <v>283</v>
      </c>
    </row>
    <row r="36" spans="1:25" x14ac:dyDescent="0.2">
      <c r="A36">
        <v>32</v>
      </c>
      <c r="B36" t="s">
        <v>349</v>
      </c>
      <c r="C36" t="s">
        <v>350</v>
      </c>
      <c r="D36">
        <v>1</v>
      </c>
      <c r="E36" t="s">
        <v>279</v>
      </c>
      <c r="F36" t="s">
        <v>341</v>
      </c>
      <c r="G36">
        <v>4</v>
      </c>
      <c r="H36">
        <v>0</v>
      </c>
      <c r="I36">
        <v>0</v>
      </c>
      <c r="J36">
        <v>4.5599999999999996</v>
      </c>
      <c r="K36">
        <v>4.5599999999999996</v>
      </c>
      <c r="L36">
        <v>0</v>
      </c>
      <c r="M36">
        <v>0</v>
      </c>
      <c r="N36">
        <v>0</v>
      </c>
      <c r="O36">
        <v>0</v>
      </c>
      <c r="P36">
        <v>0</v>
      </c>
      <c r="Q36">
        <v>0</v>
      </c>
      <c r="R36">
        <v>0</v>
      </c>
      <c r="S36">
        <v>0</v>
      </c>
      <c r="T36">
        <v>0</v>
      </c>
      <c r="U36">
        <v>0</v>
      </c>
      <c r="V36">
        <v>0</v>
      </c>
      <c r="W36" t="s">
        <v>295</v>
      </c>
      <c r="X36" t="s">
        <v>342</v>
      </c>
      <c r="Y36" t="s">
        <v>283</v>
      </c>
    </row>
    <row r="38" spans="1:25" x14ac:dyDescent="0.2">
      <c r="A38">
        <v>33</v>
      </c>
      <c r="B38" t="s">
        <v>351</v>
      </c>
      <c r="C38" t="s">
        <v>351</v>
      </c>
      <c r="D38">
        <v>4</v>
      </c>
      <c r="E38" t="s">
        <v>172</v>
      </c>
      <c r="H38">
        <v>0</v>
      </c>
      <c r="I38">
        <v>0</v>
      </c>
      <c r="J38">
        <v>0</v>
      </c>
      <c r="K38">
        <v>0</v>
      </c>
      <c r="L38">
        <v>0</v>
      </c>
      <c r="M38">
        <v>0</v>
      </c>
      <c r="N38">
        <v>0</v>
      </c>
      <c r="O38">
        <v>0</v>
      </c>
      <c r="P38">
        <v>0</v>
      </c>
      <c r="Q38">
        <v>0</v>
      </c>
      <c r="R38">
        <v>0</v>
      </c>
      <c r="S38">
        <v>0</v>
      </c>
      <c r="T38">
        <v>0</v>
      </c>
      <c r="U38">
        <v>0</v>
      </c>
      <c r="V38">
        <v>0</v>
      </c>
    </row>
    <row r="40" spans="1:25" x14ac:dyDescent="0.2">
      <c r="A40">
        <v>34</v>
      </c>
      <c r="B40" t="s">
        <v>352</v>
      </c>
      <c r="C40" t="s">
        <v>353</v>
      </c>
      <c r="D40">
        <v>4</v>
      </c>
      <c r="E40" t="s">
        <v>172</v>
      </c>
      <c r="H40">
        <v>0</v>
      </c>
      <c r="I40">
        <v>0</v>
      </c>
      <c r="J40">
        <v>0</v>
      </c>
      <c r="K40">
        <v>0</v>
      </c>
      <c r="L40">
        <v>0</v>
      </c>
      <c r="M40">
        <v>0</v>
      </c>
      <c r="N40">
        <v>0</v>
      </c>
      <c r="O40">
        <v>0</v>
      </c>
      <c r="P40">
        <v>0</v>
      </c>
      <c r="Q40">
        <v>0</v>
      </c>
      <c r="R40">
        <v>0</v>
      </c>
      <c r="S40">
        <v>0</v>
      </c>
      <c r="T40">
        <v>0</v>
      </c>
      <c r="U40">
        <v>0</v>
      </c>
      <c r="V40">
        <v>0</v>
      </c>
    </row>
    <row r="41" spans="1:25" x14ac:dyDescent="0.2">
      <c r="A41">
        <v>35</v>
      </c>
      <c r="B41" t="s">
        <v>354</v>
      </c>
      <c r="C41" t="s">
        <v>355</v>
      </c>
      <c r="D41">
        <v>4</v>
      </c>
      <c r="E41" t="s">
        <v>172</v>
      </c>
      <c r="H41">
        <v>0</v>
      </c>
      <c r="I41">
        <v>0</v>
      </c>
      <c r="J41">
        <v>0</v>
      </c>
      <c r="K41">
        <v>0</v>
      </c>
      <c r="L41">
        <v>0</v>
      </c>
      <c r="M41">
        <v>0</v>
      </c>
      <c r="N41">
        <v>0</v>
      </c>
      <c r="O41">
        <v>0</v>
      </c>
      <c r="P41">
        <v>0</v>
      </c>
      <c r="Q41">
        <v>0</v>
      </c>
      <c r="R41">
        <v>0</v>
      </c>
      <c r="S41">
        <v>0</v>
      </c>
      <c r="T41">
        <v>0</v>
      </c>
      <c r="U41">
        <v>0</v>
      </c>
      <c r="V41">
        <v>0</v>
      </c>
    </row>
    <row r="42" spans="1:25" x14ac:dyDescent="0.2">
      <c r="A42">
        <v>36</v>
      </c>
      <c r="B42" t="s">
        <v>354</v>
      </c>
      <c r="C42" t="s">
        <v>356</v>
      </c>
      <c r="D42">
        <v>4</v>
      </c>
      <c r="E42" t="s">
        <v>172</v>
      </c>
      <c r="H42">
        <v>0</v>
      </c>
      <c r="I42">
        <v>0</v>
      </c>
      <c r="J42">
        <v>0</v>
      </c>
      <c r="K42">
        <v>0</v>
      </c>
      <c r="L42">
        <v>0</v>
      </c>
      <c r="M42">
        <v>0</v>
      </c>
      <c r="N42">
        <v>0</v>
      </c>
      <c r="O42">
        <v>0</v>
      </c>
      <c r="P42">
        <v>0</v>
      </c>
      <c r="Q42">
        <v>0</v>
      </c>
      <c r="R42">
        <v>0</v>
      </c>
      <c r="S42">
        <v>0</v>
      </c>
      <c r="T42">
        <v>0</v>
      </c>
      <c r="U42">
        <v>0</v>
      </c>
      <c r="V42">
        <v>0</v>
      </c>
    </row>
    <row r="43" spans="1:25" x14ac:dyDescent="0.2">
      <c r="A43">
        <v>37</v>
      </c>
      <c r="B43" t="s">
        <v>357</v>
      </c>
      <c r="C43" t="s">
        <v>358</v>
      </c>
      <c r="D43">
        <v>4</v>
      </c>
      <c r="E43" t="s">
        <v>172</v>
      </c>
      <c r="H43">
        <v>0</v>
      </c>
      <c r="I43">
        <v>0</v>
      </c>
      <c r="J43">
        <v>0</v>
      </c>
      <c r="K43">
        <v>0</v>
      </c>
      <c r="L43">
        <v>0</v>
      </c>
      <c r="M43">
        <v>0</v>
      </c>
      <c r="N43">
        <v>0</v>
      </c>
      <c r="O43">
        <v>0</v>
      </c>
      <c r="P43">
        <v>0</v>
      </c>
      <c r="Q43">
        <v>0</v>
      </c>
      <c r="R43">
        <v>0</v>
      </c>
      <c r="S43">
        <v>0</v>
      </c>
      <c r="T43">
        <v>0</v>
      </c>
      <c r="U43">
        <v>0</v>
      </c>
      <c r="V43">
        <v>0</v>
      </c>
    </row>
    <row r="44" spans="1:25" x14ac:dyDescent="0.2">
      <c r="A44">
        <v>38</v>
      </c>
      <c r="B44" t="s">
        <v>357</v>
      </c>
      <c r="C44" t="s">
        <v>359</v>
      </c>
      <c r="D44">
        <v>8</v>
      </c>
      <c r="E44" t="s">
        <v>172</v>
      </c>
      <c r="H44">
        <v>0</v>
      </c>
      <c r="I44">
        <v>0</v>
      </c>
      <c r="J44">
        <v>0</v>
      </c>
      <c r="K44">
        <v>0</v>
      </c>
      <c r="L44">
        <v>0</v>
      </c>
      <c r="M44">
        <v>0</v>
      </c>
      <c r="N44">
        <v>0</v>
      </c>
      <c r="O44">
        <v>0</v>
      </c>
      <c r="P44">
        <v>0</v>
      </c>
      <c r="Q44">
        <v>0</v>
      </c>
      <c r="R44">
        <v>0</v>
      </c>
      <c r="S44">
        <v>0</v>
      </c>
      <c r="T44">
        <v>0</v>
      </c>
      <c r="U44">
        <v>0</v>
      </c>
      <c r="V44">
        <v>0</v>
      </c>
    </row>
    <row r="45" spans="1:25" x14ac:dyDescent="0.2">
      <c r="A45">
        <v>39</v>
      </c>
      <c r="B45" t="s">
        <v>360</v>
      </c>
      <c r="C45" t="s">
        <v>361</v>
      </c>
      <c r="D45">
        <v>4</v>
      </c>
      <c r="E45" t="s">
        <v>172</v>
      </c>
      <c r="H45">
        <v>0</v>
      </c>
      <c r="I45">
        <v>0</v>
      </c>
      <c r="J45">
        <v>0</v>
      </c>
      <c r="K45">
        <v>0</v>
      </c>
      <c r="L45">
        <v>0</v>
      </c>
      <c r="M45">
        <v>0</v>
      </c>
      <c r="N45">
        <v>0</v>
      </c>
      <c r="O45">
        <v>0</v>
      </c>
      <c r="P45">
        <v>0</v>
      </c>
      <c r="Q45">
        <v>0</v>
      </c>
      <c r="R45">
        <v>0</v>
      </c>
      <c r="S45">
        <v>0</v>
      </c>
      <c r="T45">
        <v>0</v>
      </c>
      <c r="U45">
        <v>0</v>
      </c>
      <c r="V45">
        <v>0</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1"/>
  <sheetViews>
    <sheetView zoomScale="85" zoomScaleNormal="85" workbookViewId="0">
      <pane ySplit="2" topLeftCell="A3" activePane="bottomLeft" state="frozen"/>
      <selection pane="bottomLeft" activeCell="G28" sqref="G28"/>
    </sheetView>
  </sheetViews>
  <sheetFormatPr defaultColWidth="9.33203125" defaultRowHeight="15" outlineLevelRow="1" x14ac:dyDescent="0.2"/>
  <cols>
    <col min="1" max="1" width="4.83203125" style="1" customWidth="1"/>
    <col min="2" max="2" width="8.1640625" style="1" customWidth="1"/>
    <col min="3" max="3" width="31" style="1" customWidth="1"/>
    <col min="4" max="4" width="25.83203125" style="1" customWidth="1"/>
    <col min="5" max="5" width="11.1640625" style="1" customWidth="1"/>
    <col min="6" max="6" width="13.1640625" style="1" customWidth="1"/>
    <col min="7" max="7" width="13.5" style="1" customWidth="1"/>
    <col min="8" max="8" width="18.6640625" style="1" customWidth="1"/>
    <col min="9" max="9" width="19.1640625" style="1" customWidth="1"/>
    <col min="10" max="10" width="27" style="1" customWidth="1"/>
    <col min="11" max="11" width="19.5" style="1" bestFit="1" customWidth="1"/>
    <col min="12" max="12" width="24.6640625" style="1" bestFit="1" customWidth="1"/>
    <col min="13" max="13" width="33.5" style="1" customWidth="1"/>
    <col min="14" max="14" width="30.33203125" style="1" bestFit="1" customWidth="1"/>
    <col min="15" max="15" width="19.5" style="1" bestFit="1" customWidth="1"/>
    <col min="16" max="16" width="24.6640625" style="1" bestFit="1" customWidth="1"/>
    <col min="17" max="16384" width="9.33203125" style="1"/>
  </cols>
  <sheetData>
    <row r="1" spans="1:15" ht="26.25" customHeight="1" thickBot="1" x14ac:dyDescent="0.25">
      <c r="B1" s="259" t="s">
        <v>81</v>
      </c>
      <c r="C1" s="259"/>
      <c r="D1" s="85" t="s">
        <v>362</v>
      </c>
      <c r="E1" s="268" t="s">
        <v>271</v>
      </c>
      <c r="F1" s="268"/>
      <c r="G1" s="268"/>
      <c r="H1" s="268"/>
      <c r="I1" s="268"/>
      <c r="J1" s="190"/>
      <c r="K1"/>
      <c r="L1"/>
    </row>
    <row r="2" spans="1:15" ht="16.5" thickBot="1" x14ac:dyDescent="0.25">
      <c r="B2" s="263" t="s">
        <v>79</v>
      </c>
      <c r="C2" s="264"/>
      <c r="D2" s="91">
        <v>464</v>
      </c>
      <c r="E2" s="268"/>
      <c r="F2" s="268"/>
      <c r="G2" s="268"/>
      <c r="H2" s="268"/>
      <c r="I2" s="268"/>
      <c r="J2" s="190"/>
      <c r="K2"/>
      <c r="L2"/>
    </row>
    <row r="3" spans="1:15" ht="217.5" customHeight="1" x14ac:dyDescent="0.2">
      <c r="A3" s="84" t="s">
        <v>71</v>
      </c>
      <c r="B3" s="266"/>
      <c r="C3" s="266"/>
      <c r="D3" s="266"/>
      <c r="E3" s="265"/>
      <c r="F3" s="265"/>
      <c r="G3" s="265"/>
      <c r="H3" s="265"/>
      <c r="L3"/>
      <c r="N3" s="214" t="str">
        <f>F68</f>
        <v>размер фонда</v>
      </c>
      <c r="O3" s="1" t="str">
        <f>G68</f>
        <v>получено из сметы</v>
      </c>
    </row>
    <row r="4" spans="1:15" ht="31.5" customHeight="1" x14ac:dyDescent="0.2">
      <c r="B4" s="267" t="s">
        <v>72</v>
      </c>
      <c r="C4" s="267"/>
      <c r="D4" s="30" t="s">
        <v>363</v>
      </c>
      <c r="E4" s="269" t="s">
        <v>270</v>
      </c>
      <c r="F4" s="270"/>
      <c r="G4" s="271"/>
      <c r="H4" s="26"/>
      <c r="I4" s="231" t="s">
        <v>177</v>
      </c>
      <c r="J4" s="232">
        <f>H62/D6</f>
        <v>149.10335212721188</v>
      </c>
      <c r="K4" s="231" t="s">
        <v>178</v>
      </c>
      <c r="L4"/>
    </row>
    <row r="5" spans="1:15" x14ac:dyDescent="0.2">
      <c r="B5" s="260" t="s">
        <v>73</v>
      </c>
      <c r="C5" s="260"/>
      <c r="D5" s="30" t="s">
        <v>364</v>
      </c>
      <c r="I5"/>
      <c r="J5"/>
      <c r="K5"/>
      <c r="L5"/>
      <c r="M5" s="1" t="str">
        <f>B69</f>
        <v>Услуги</v>
      </c>
      <c r="N5" s="198">
        <f>F69</f>
        <v>0.191</v>
      </c>
      <c r="O5" s="198">
        <f>G69</f>
        <v>7.6283050320671578E-2</v>
      </c>
    </row>
    <row r="6" spans="1:15" x14ac:dyDescent="0.2">
      <c r="B6" s="260" t="s">
        <v>74</v>
      </c>
      <c r="C6" s="260"/>
      <c r="D6" s="26">
        <v>152</v>
      </c>
      <c r="I6"/>
      <c r="J6"/>
      <c r="K6"/>
      <c r="L6"/>
      <c r="M6" s="1" t="str">
        <f>B72</f>
        <v>Материальная часть</v>
      </c>
      <c r="N6" s="198">
        <f>F72</f>
        <v>0.30599999999999999</v>
      </c>
      <c r="O6" s="198">
        <f>G72</f>
        <v>0.44850047655582731</v>
      </c>
    </row>
    <row r="7" spans="1:15" x14ac:dyDescent="0.2">
      <c r="B7" s="260" t="s">
        <v>75</v>
      </c>
      <c r="C7" s="260"/>
      <c r="D7" s="26" t="s">
        <v>365</v>
      </c>
      <c r="I7"/>
      <c r="J7"/>
      <c r="K7"/>
      <c r="L7"/>
      <c r="M7" s="1" t="str">
        <f>B75</f>
        <v>Трудозатраты</v>
      </c>
      <c r="N7" s="198">
        <f>F75</f>
        <v>0.11599999999999999</v>
      </c>
      <c r="O7" s="198">
        <f>G75</f>
        <v>0.2490694995690351</v>
      </c>
    </row>
    <row r="8" spans="1:15" x14ac:dyDescent="0.2">
      <c r="B8" s="260" t="s">
        <v>76</v>
      </c>
      <c r="C8" s="260"/>
      <c r="D8" s="26">
        <v>7035</v>
      </c>
      <c r="I8"/>
      <c r="J8"/>
      <c r="K8"/>
      <c r="L8"/>
      <c r="M8" s="1" t="str">
        <f>B81</f>
        <v>Расходы на снабжение</v>
      </c>
      <c r="N8" s="198">
        <f>F81</f>
        <v>4.3999999999999997E-2</v>
      </c>
      <c r="O8" s="198">
        <f>G81</f>
        <v>2.0991341075059958E-2</v>
      </c>
    </row>
    <row r="9" spans="1:15" x14ac:dyDescent="0.2">
      <c r="B9" s="262" t="s">
        <v>78</v>
      </c>
      <c r="C9" s="262"/>
      <c r="D9" s="29">
        <v>100</v>
      </c>
      <c r="I9"/>
      <c r="J9"/>
      <c r="K9"/>
      <c r="L9"/>
      <c r="M9" s="1" t="str">
        <f>B89</f>
        <v>Маржа на работу</v>
      </c>
      <c r="N9" s="198">
        <f>F89</f>
        <v>4.9999999999999996E-2</v>
      </c>
      <c r="O9" s="198">
        <f>G89</f>
        <v>7.4720849870710523E-2</v>
      </c>
    </row>
    <row r="10" spans="1:15" ht="27" customHeight="1" x14ac:dyDescent="0.2">
      <c r="B10" s="261" t="s">
        <v>77</v>
      </c>
      <c r="C10" s="261"/>
      <c r="D10" s="261"/>
      <c r="E10" s="261"/>
      <c r="F10" s="261"/>
      <c r="G10" s="261"/>
      <c r="H10" s="261"/>
      <c r="I10"/>
      <c r="J10"/>
      <c r="K10"/>
      <c r="L10"/>
      <c r="M10" s="1" t="str">
        <f>B94</f>
        <v>Наценка торговая</v>
      </c>
      <c r="N10" s="198">
        <f>F94</f>
        <v>0.29300000000000004</v>
      </c>
      <c r="O10" s="198">
        <f>G94</f>
        <v>0.13043478260869565</v>
      </c>
    </row>
    <row r="11" spans="1:15" ht="100.5" customHeight="1" x14ac:dyDescent="0.2">
      <c r="B11" s="258" t="s">
        <v>366</v>
      </c>
      <c r="C11" s="258"/>
      <c r="D11" s="258"/>
      <c r="E11" s="258"/>
      <c r="F11" s="258"/>
      <c r="G11" s="258"/>
      <c r="H11" s="258"/>
      <c r="I11"/>
      <c r="J11"/>
      <c r="K11"/>
      <c r="L11"/>
    </row>
    <row r="12" spans="1:15" x14ac:dyDescent="0.2">
      <c r="I12"/>
      <c r="J12"/>
      <c r="K12"/>
      <c r="L12"/>
    </row>
    <row r="13" spans="1:15" ht="27.75" customHeight="1" x14ac:dyDescent="0.2">
      <c r="B13" s="275" t="s">
        <v>18</v>
      </c>
      <c r="C13" s="275"/>
      <c r="D13" s="275"/>
      <c r="E13" s="275"/>
      <c r="F13" s="275"/>
      <c r="G13" s="275"/>
      <c r="H13" s="275"/>
      <c r="I13"/>
      <c r="J13"/>
      <c r="K13"/>
      <c r="L13"/>
    </row>
    <row r="14" spans="1:15" x14ac:dyDescent="0.2">
      <c r="I14"/>
      <c r="J14"/>
      <c r="K14"/>
      <c r="L14"/>
    </row>
    <row r="15" spans="1:15" ht="77.25" customHeight="1" x14ac:dyDescent="0.2">
      <c r="B15" s="3" t="s">
        <v>0</v>
      </c>
      <c r="C15" s="3" t="s">
        <v>1</v>
      </c>
      <c r="D15" s="3" t="s">
        <v>2</v>
      </c>
      <c r="E15" s="3" t="s">
        <v>3</v>
      </c>
      <c r="F15" s="3" t="s">
        <v>4</v>
      </c>
      <c r="G15" s="10" t="s">
        <v>265</v>
      </c>
      <c r="H15" s="10" t="s">
        <v>266</v>
      </c>
      <c r="I15" s="10" t="s">
        <v>267</v>
      </c>
      <c r="J15" s="10" t="s">
        <v>268</v>
      </c>
      <c r="K15" s="10" t="s">
        <v>269</v>
      </c>
      <c r="L15"/>
    </row>
    <row r="16" spans="1:15" ht="24.75" customHeight="1" x14ac:dyDescent="0.25">
      <c r="B16" s="276" t="s">
        <v>173</v>
      </c>
      <c r="C16" s="281"/>
      <c r="D16" s="281"/>
      <c r="E16" s="281"/>
      <c r="F16" s="281"/>
      <c r="G16" s="277"/>
      <c r="H16" s="8">
        <f>SUM(H17:H25)</f>
        <v>1988.185428125</v>
      </c>
      <c r="I16" s="13"/>
      <c r="J16" s="13"/>
      <c r="K16" s="13"/>
      <c r="L16"/>
    </row>
    <row r="17" spans="2:12" x14ac:dyDescent="0.2">
      <c r="B17" s="26">
        <v>1</v>
      </c>
      <c r="C17" s="182" t="s">
        <v>82</v>
      </c>
      <c r="D17" s="255" t="s">
        <v>83</v>
      </c>
      <c r="E17" s="256"/>
      <c r="F17" s="256"/>
      <c r="G17" s="257"/>
      <c r="H17" s="227">
        <f>Лазер[[#Totals],[Стоимость 
комплекта, руб без НДС]]</f>
        <v>1988.185428125</v>
      </c>
      <c r="I17" s="13"/>
      <c r="J17" s="229"/>
      <c r="K17" s="13"/>
      <c r="L17"/>
    </row>
    <row r="18" spans="2:12" x14ac:dyDescent="0.2">
      <c r="B18" s="26">
        <v>2</v>
      </c>
      <c r="C18" s="182" t="s">
        <v>82</v>
      </c>
      <c r="D18" s="255" t="s">
        <v>154</v>
      </c>
      <c r="E18" s="256"/>
      <c r="F18" s="256"/>
      <c r="G18" s="257"/>
      <c r="H18" s="227">
        <v>0</v>
      </c>
      <c r="I18" s="13"/>
      <c r="J18" s="13"/>
      <c r="K18" s="13"/>
      <c r="L18"/>
    </row>
    <row r="19" spans="2:12" x14ac:dyDescent="0.2">
      <c r="B19" s="26">
        <v>3</v>
      </c>
      <c r="C19" s="182" t="s">
        <v>82</v>
      </c>
      <c r="D19" s="255" t="s">
        <v>253</v>
      </c>
      <c r="E19" s="256"/>
      <c r="F19" s="256"/>
      <c r="G19" s="257"/>
      <c r="H19" s="227">
        <v>0</v>
      </c>
      <c r="I19" s="13"/>
      <c r="J19" s="13"/>
      <c r="K19" s="13"/>
      <c r="L19"/>
    </row>
    <row r="20" spans="2:12" x14ac:dyDescent="0.2">
      <c r="B20" s="26">
        <v>4</v>
      </c>
      <c r="C20" s="182" t="s">
        <v>82</v>
      </c>
      <c r="D20" s="255" t="s">
        <v>155</v>
      </c>
      <c r="E20" s="256"/>
      <c r="F20" s="256"/>
      <c r="G20" s="257"/>
      <c r="H20" s="227">
        <v>0</v>
      </c>
      <c r="I20" s="13"/>
      <c r="J20" s="13"/>
      <c r="K20" s="13"/>
      <c r="L20"/>
    </row>
    <row r="21" spans="2:12" x14ac:dyDescent="0.2">
      <c r="B21" s="26">
        <v>5</v>
      </c>
      <c r="C21" s="182" t="s">
        <v>82</v>
      </c>
      <c r="D21" s="255" t="s">
        <v>174</v>
      </c>
      <c r="E21" s="256"/>
      <c r="F21" s="256"/>
      <c r="G21" s="257"/>
      <c r="H21" s="227">
        <v>0</v>
      </c>
      <c r="I21" s="13"/>
      <c r="J21" s="13"/>
      <c r="K21" s="13"/>
      <c r="L21"/>
    </row>
    <row r="22" spans="2:12" x14ac:dyDescent="0.2">
      <c r="B22" s="26">
        <v>6</v>
      </c>
      <c r="C22" s="182" t="s">
        <v>82</v>
      </c>
      <c r="D22" s="255" t="s">
        <v>156</v>
      </c>
      <c r="E22" s="256"/>
      <c r="F22" s="256"/>
      <c r="G22" s="257"/>
      <c r="H22" s="227">
        <v>0</v>
      </c>
      <c r="I22" s="13"/>
      <c r="J22" s="13"/>
      <c r="K22" s="13"/>
      <c r="L22"/>
    </row>
    <row r="23" spans="2:12" x14ac:dyDescent="0.2">
      <c r="B23" s="26">
        <v>7</v>
      </c>
      <c r="C23" s="182" t="s">
        <v>82</v>
      </c>
      <c r="D23" s="255" t="s">
        <v>181</v>
      </c>
      <c r="E23" s="256"/>
      <c r="F23" s="256"/>
      <c r="G23" s="257"/>
      <c r="H23" s="227">
        <v>0</v>
      </c>
      <c r="I23" s="13"/>
      <c r="J23" s="13"/>
      <c r="K23" s="13"/>
      <c r="L23"/>
    </row>
    <row r="24" spans="2:12" x14ac:dyDescent="0.2">
      <c r="B24" s="26">
        <v>8</v>
      </c>
      <c r="C24" s="182" t="s">
        <v>82</v>
      </c>
      <c r="D24" s="255" t="s">
        <v>254</v>
      </c>
      <c r="E24" s="256"/>
      <c r="F24" s="256"/>
      <c r="G24" s="257"/>
      <c r="H24" s="227">
        <v>0</v>
      </c>
      <c r="I24" s="13"/>
      <c r="J24" s="13"/>
      <c r="K24" s="13"/>
      <c r="L24"/>
    </row>
    <row r="25" spans="2:12" x14ac:dyDescent="0.2">
      <c r="B25" s="26">
        <v>9</v>
      </c>
      <c r="C25" s="182" t="s">
        <v>82</v>
      </c>
      <c r="D25" s="255" t="s">
        <v>183</v>
      </c>
      <c r="E25" s="256"/>
      <c r="F25" s="256"/>
      <c r="G25" s="257"/>
      <c r="H25" s="227">
        <v>0</v>
      </c>
      <c r="I25" s="13"/>
      <c r="J25" s="13"/>
      <c r="K25" s="13"/>
      <c r="L25"/>
    </row>
    <row r="26" spans="2:12" ht="27" customHeight="1" x14ac:dyDescent="0.25">
      <c r="B26" s="276" t="s">
        <v>175</v>
      </c>
      <c r="C26" s="281"/>
      <c r="D26" s="281"/>
      <c r="E26" s="281"/>
      <c r="F26" s="281"/>
      <c r="G26" s="277"/>
      <c r="H26" s="8">
        <f>SUM($H$27:$H$40)</f>
        <v>11689.387199999999</v>
      </c>
      <c r="I26" s="13"/>
      <c r="J26" s="13"/>
      <c r="K26" s="13"/>
      <c r="L26"/>
    </row>
    <row r="27" spans="2:12" x14ac:dyDescent="0.2">
      <c r="B27" s="26">
        <v>1</v>
      </c>
      <c r="C27" s="9" t="s">
        <v>32</v>
      </c>
      <c r="D27" s="34" t="s">
        <v>365</v>
      </c>
      <c r="E27" s="9" t="s">
        <v>367</v>
      </c>
      <c r="F27" s="92">
        <v>1.6080000000000001</v>
      </c>
      <c r="G27" s="9" t="s">
        <v>424</v>
      </c>
      <c r="H27" s="242">
        <f>$F$27*$G$27</f>
        <v>554.76</v>
      </c>
      <c r="I27" s="13"/>
      <c r="J27" s="13"/>
      <c r="K27" s="13"/>
      <c r="L27"/>
    </row>
    <row r="28" spans="2:12" x14ac:dyDescent="0.2">
      <c r="B28" s="243">
        <v>2</v>
      </c>
      <c r="C28" s="244" t="s">
        <v>32</v>
      </c>
      <c r="D28" s="245" t="s">
        <v>368</v>
      </c>
      <c r="E28" s="244" t="s">
        <v>369</v>
      </c>
      <c r="F28" s="246">
        <v>0.17599999999999999</v>
      </c>
      <c r="G28" s="244">
        <v>78</v>
      </c>
      <c r="H28" s="247">
        <f>$F$28*$G$28</f>
        <v>13.728</v>
      </c>
      <c r="I28" s="13"/>
      <c r="J28" s="13"/>
      <c r="K28" s="13"/>
      <c r="L28"/>
    </row>
    <row r="29" spans="2:12" x14ac:dyDescent="0.2">
      <c r="B29" s="243">
        <v>3</v>
      </c>
      <c r="C29" s="244" t="s">
        <v>32</v>
      </c>
      <c r="D29" s="245" t="s">
        <v>370</v>
      </c>
      <c r="E29" s="244" t="s">
        <v>369</v>
      </c>
      <c r="F29" s="246">
        <v>1.9316</v>
      </c>
      <c r="G29" s="244">
        <v>166</v>
      </c>
      <c r="H29" s="247">
        <f>$F$29*$G$29</f>
        <v>320.6456</v>
      </c>
      <c r="I29" s="13"/>
      <c r="J29" s="13"/>
      <c r="K29" s="13"/>
      <c r="L29"/>
    </row>
    <row r="30" spans="2:12" x14ac:dyDescent="0.2">
      <c r="B30" s="243">
        <v>4</v>
      </c>
      <c r="C30" s="244" t="s">
        <v>32</v>
      </c>
      <c r="D30" s="245" t="s">
        <v>371</v>
      </c>
      <c r="E30" s="244" t="s">
        <v>367</v>
      </c>
      <c r="F30" s="246">
        <v>39.5</v>
      </c>
      <c r="G30" s="244">
        <v>78</v>
      </c>
      <c r="H30" s="247">
        <f>$F$30*$G$30</f>
        <v>3081</v>
      </c>
      <c r="I30" s="13"/>
      <c r="J30" s="13"/>
      <c r="K30" s="13"/>
      <c r="L30"/>
    </row>
    <row r="31" spans="2:12" x14ac:dyDescent="0.2">
      <c r="B31" s="243">
        <v>5</v>
      </c>
      <c r="C31" s="244" t="s">
        <v>32</v>
      </c>
      <c r="D31" s="245" t="s">
        <v>372</v>
      </c>
      <c r="E31" s="244" t="s">
        <v>369</v>
      </c>
      <c r="F31" s="246">
        <v>27.238199999999999</v>
      </c>
      <c r="G31" s="244">
        <v>98</v>
      </c>
      <c r="H31" s="247">
        <f>$F$31*$G$31</f>
        <v>2669.3435999999997</v>
      </c>
      <c r="I31" s="13"/>
      <c r="J31" s="13"/>
      <c r="K31" s="13"/>
      <c r="L31"/>
    </row>
    <row r="32" spans="2:12" x14ac:dyDescent="0.2">
      <c r="B32" s="243">
        <v>6</v>
      </c>
      <c r="C32" s="244" t="s">
        <v>32</v>
      </c>
      <c r="D32" s="245" t="s">
        <v>373</v>
      </c>
      <c r="E32" s="244" t="s">
        <v>369</v>
      </c>
      <c r="F32" s="246">
        <v>23.192399999999999</v>
      </c>
      <c r="G32" s="244">
        <v>200</v>
      </c>
      <c r="H32" s="247">
        <f>$F$32*$G$32</f>
        <v>4638.4799999999996</v>
      </c>
      <c r="I32" s="13"/>
      <c r="J32" s="13"/>
      <c r="K32" s="13"/>
      <c r="L32"/>
    </row>
    <row r="33" spans="1:12" x14ac:dyDescent="0.2">
      <c r="B33" s="243">
        <v>7</v>
      </c>
      <c r="C33" s="244" t="s">
        <v>32</v>
      </c>
      <c r="D33" s="245" t="s">
        <v>374</v>
      </c>
      <c r="E33" s="244" t="s">
        <v>369</v>
      </c>
      <c r="F33" s="246">
        <v>0.85799999999999998</v>
      </c>
      <c r="G33" s="244">
        <v>335</v>
      </c>
      <c r="H33" s="247">
        <f>$F$33*$G$33</f>
        <v>287.43</v>
      </c>
      <c r="I33" s="13"/>
      <c r="J33" s="13"/>
      <c r="K33" s="13"/>
      <c r="L33"/>
    </row>
    <row r="34" spans="1:12" ht="30" x14ac:dyDescent="0.2">
      <c r="B34" s="243">
        <v>8</v>
      </c>
      <c r="C34" s="244" t="s">
        <v>172</v>
      </c>
      <c r="D34" s="245" t="s">
        <v>356</v>
      </c>
      <c r="E34" s="244" t="s">
        <v>375</v>
      </c>
      <c r="F34" s="246">
        <v>4</v>
      </c>
      <c r="G34" s="244">
        <v>11</v>
      </c>
      <c r="H34" s="247">
        <f>$F$34*$G$34</f>
        <v>44</v>
      </c>
      <c r="I34" s="13"/>
      <c r="J34" s="13"/>
      <c r="K34" s="13"/>
      <c r="L34"/>
    </row>
    <row r="35" spans="1:12" ht="30" x14ac:dyDescent="0.2">
      <c r="B35" s="243">
        <v>9</v>
      </c>
      <c r="C35" s="244" t="s">
        <v>172</v>
      </c>
      <c r="D35" s="245" t="s">
        <v>355</v>
      </c>
      <c r="E35" s="244" t="s">
        <v>375</v>
      </c>
      <c r="F35" s="246">
        <v>4</v>
      </c>
      <c r="G35" s="244">
        <v>3</v>
      </c>
      <c r="H35" s="247">
        <f>$F$35*$G$35</f>
        <v>12</v>
      </c>
      <c r="I35" s="13"/>
      <c r="J35" s="13"/>
      <c r="K35" s="13"/>
      <c r="L35"/>
    </row>
    <row r="36" spans="1:12" ht="30" x14ac:dyDescent="0.2">
      <c r="B36" s="243">
        <v>10</v>
      </c>
      <c r="C36" s="244" t="s">
        <v>172</v>
      </c>
      <c r="D36" s="245" t="s">
        <v>361</v>
      </c>
      <c r="E36" s="244" t="s">
        <v>375</v>
      </c>
      <c r="F36" s="246">
        <v>4</v>
      </c>
      <c r="G36" s="244">
        <v>4</v>
      </c>
      <c r="H36" s="247">
        <f>$F$36*$G$36</f>
        <v>16</v>
      </c>
      <c r="I36" s="13"/>
      <c r="J36" s="13"/>
      <c r="K36" s="13"/>
      <c r="L36"/>
    </row>
    <row r="37" spans="1:12" ht="30" x14ac:dyDescent="0.2">
      <c r="B37" s="243">
        <v>11</v>
      </c>
      <c r="C37" s="244" t="s">
        <v>172</v>
      </c>
      <c r="D37" s="245" t="s">
        <v>351</v>
      </c>
      <c r="E37" s="244" t="s">
        <v>375</v>
      </c>
      <c r="F37" s="246">
        <v>4</v>
      </c>
      <c r="G37" s="244">
        <v>7</v>
      </c>
      <c r="H37" s="247">
        <f>$F$37*$G$37</f>
        <v>28</v>
      </c>
      <c r="I37" s="13"/>
      <c r="J37" s="13"/>
      <c r="K37" s="13"/>
      <c r="L37"/>
    </row>
    <row r="38" spans="1:12" x14ac:dyDescent="0.2">
      <c r="B38" s="243">
        <v>12</v>
      </c>
      <c r="C38" s="244" t="s">
        <v>172</v>
      </c>
      <c r="D38" s="245" t="s">
        <v>359</v>
      </c>
      <c r="E38" s="244" t="s">
        <v>375</v>
      </c>
      <c r="F38" s="246">
        <v>8</v>
      </c>
      <c r="G38" s="244">
        <v>2</v>
      </c>
      <c r="H38" s="247">
        <f>$F$38*$G$38</f>
        <v>16</v>
      </c>
      <c r="I38" s="13"/>
      <c r="J38" s="13"/>
      <c r="K38" s="13"/>
      <c r="L38"/>
    </row>
    <row r="39" spans="1:12" x14ac:dyDescent="0.2">
      <c r="B39" s="243">
        <v>13</v>
      </c>
      <c r="C39" s="244" t="s">
        <v>172</v>
      </c>
      <c r="D39" s="245" t="s">
        <v>358</v>
      </c>
      <c r="E39" s="244" t="s">
        <v>375</v>
      </c>
      <c r="F39" s="246">
        <v>4</v>
      </c>
      <c r="G39" s="244">
        <v>1</v>
      </c>
      <c r="H39" s="247">
        <f>$F$39*$G$39</f>
        <v>4</v>
      </c>
      <c r="I39" s="13"/>
      <c r="J39" s="13"/>
      <c r="K39" s="13"/>
      <c r="L39"/>
    </row>
    <row r="40" spans="1:12" ht="30" x14ac:dyDescent="0.2">
      <c r="B40" s="243">
        <v>14</v>
      </c>
      <c r="C40" s="244" t="s">
        <v>172</v>
      </c>
      <c r="D40" s="245" t="s">
        <v>353</v>
      </c>
      <c r="E40" s="244" t="s">
        <v>375</v>
      </c>
      <c r="F40" s="246">
        <v>4</v>
      </c>
      <c r="G40" s="244">
        <v>1</v>
      </c>
      <c r="H40" s="247">
        <f>$F$40*$G$40</f>
        <v>4</v>
      </c>
      <c r="I40" s="13"/>
      <c r="J40" s="13"/>
      <c r="K40" s="13"/>
      <c r="L40"/>
    </row>
    <row r="41" spans="1:12" ht="15.75" x14ac:dyDescent="0.25">
      <c r="B41" s="5"/>
      <c r="C41" s="5"/>
      <c r="D41" s="5"/>
      <c r="E41" s="285" t="s">
        <v>185</v>
      </c>
      <c r="F41" s="285"/>
      <c r="G41" s="285"/>
      <c r="H41" s="191">
        <f>H26+H16</f>
        <v>13677.572628124999</v>
      </c>
      <c r="I41" s="13"/>
      <c r="J41" s="13"/>
      <c r="K41" s="13"/>
      <c r="L41"/>
    </row>
    <row r="42" spans="1:12" x14ac:dyDescent="0.2">
      <c r="A42" s="5"/>
      <c r="B42" s="5"/>
      <c r="C42" s="5"/>
      <c r="E42" s="35">
        <v>0.04</v>
      </c>
      <c r="F42" s="197" t="s">
        <v>192</v>
      </c>
      <c r="G42" s="5"/>
      <c r="H42" s="36">
        <f>E42*H41</f>
        <v>547.10290512500001</v>
      </c>
      <c r="I42" s="13"/>
      <c r="J42" s="13"/>
      <c r="K42" s="13"/>
      <c r="L42"/>
    </row>
    <row r="43" spans="1:12" x14ac:dyDescent="0.2">
      <c r="A43" s="5"/>
      <c r="B43" s="5"/>
      <c r="C43" s="5"/>
      <c r="D43" s="5"/>
      <c r="E43" s="5"/>
      <c r="F43" s="5"/>
      <c r="G43" s="5"/>
      <c r="I43" s="13"/>
      <c r="J43" s="13"/>
      <c r="K43" s="13"/>
      <c r="L43"/>
    </row>
    <row r="44" spans="1:12" ht="26.25" customHeight="1" x14ac:dyDescent="0.2">
      <c r="A44" s="5"/>
      <c r="B44" s="282" t="s">
        <v>16</v>
      </c>
      <c r="C44" s="283"/>
      <c r="D44" s="283"/>
      <c r="E44" s="283"/>
      <c r="F44" s="283"/>
      <c r="G44" s="283"/>
      <c r="H44" s="283"/>
      <c r="I44" s="283"/>
      <c r="J44" s="283"/>
      <c r="K44" s="284"/>
      <c r="L44"/>
    </row>
    <row r="45" spans="1:12" x14ac:dyDescent="0.2">
      <c r="A45" s="5"/>
      <c r="B45" s="5"/>
      <c r="C45" s="5"/>
      <c r="D45" s="5"/>
      <c r="E45" s="5"/>
      <c r="F45" s="5"/>
      <c r="G45" s="5"/>
      <c r="I45" s="26"/>
      <c r="J45" s="26"/>
      <c r="K45" s="26"/>
    </row>
    <row r="46" spans="1:12" ht="61.5" customHeight="1" x14ac:dyDescent="0.2">
      <c r="A46" s="5"/>
      <c r="B46" s="3" t="s">
        <v>15</v>
      </c>
      <c r="C46" s="276" t="s">
        <v>11</v>
      </c>
      <c r="D46" s="277"/>
      <c r="E46" s="3" t="s">
        <v>4</v>
      </c>
      <c r="F46" s="3" t="s">
        <v>6</v>
      </c>
      <c r="G46" s="10" t="s">
        <v>19</v>
      </c>
      <c r="H46" s="228" t="s">
        <v>20</v>
      </c>
      <c r="I46" s="226"/>
      <c r="J46" s="26"/>
      <c r="K46" s="26"/>
    </row>
    <row r="47" spans="1:12" ht="15.75" x14ac:dyDescent="0.25">
      <c r="A47" s="5"/>
      <c r="B47" s="4">
        <v>1</v>
      </c>
      <c r="C47" s="222" t="s">
        <v>80</v>
      </c>
      <c r="D47" s="223"/>
      <c r="E47" s="278"/>
      <c r="F47" s="279"/>
      <c r="G47" s="280"/>
      <c r="H47" s="227">
        <f>'Оценка сетки'!J157</f>
        <v>647.39199999999983</v>
      </c>
      <c r="I47" s="226"/>
      <c r="J47" s="26"/>
      <c r="K47" s="26"/>
    </row>
    <row r="48" spans="1:12" ht="15.75" x14ac:dyDescent="0.25">
      <c r="A48" s="5"/>
      <c r="B48" s="4">
        <v>2</v>
      </c>
      <c r="C48" s="222" t="s">
        <v>111</v>
      </c>
      <c r="D48" s="223"/>
      <c r="E48" s="272"/>
      <c r="F48" s="273"/>
      <c r="G48" s="274"/>
      <c r="H48" s="227">
        <f>SUM('Оценка фрезеровки'!$N$2:$N$51)</f>
        <v>0</v>
      </c>
      <c r="I48" s="226"/>
      <c r="J48" s="26"/>
      <c r="K48" s="26"/>
    </row>
    <row r="49" spans="1:15" ht="48.75" customHeight="1" x14ac:dyDescent="0.25">
      <c r="A49" s="5"/>
      <c r="B49" s="4">
        <v>3</v>
      </c>
      <c r="C49" s="222" t="s">
        <v>264</v>
      </c>
      <c r="D49" s="223"/>
      <c r="E49" s="4">
        <v>52</v>
      </c>
      <c r="F49" s="90">
        <f>IF(($D$2*E49)&gt;40,0.0085,IF(AND(8&lt;=($D$2*E49),($D$2*E49)&lt;=40),0.034,0.051))*4</f>
        <v>3.4000000000000002E-2</v>
      </c>
      <c r="G49" s="225">
        <f>IF($D$2&gt;40,600,IF(AND(8&lt;=$D$2,$D$2&lt;=40),600,750))</f>
        <v>600</v>
      </c>
      <c r="H49" s="227">
        <f>E49*F49*G49</f>
        <v>1060.8000000000002</v>
      </c>
      <c r="I49" s="4"/>
      <c r="J49" s="26"/>
      <c r="K49" s="26"/>
    </row>
    <row r="50" spans="1:15" ht="34.5" customHeight="1" x14ac:dyDescent="0.25">
      <c r="A50" s="5"/>
      <c r="B50" s="4">
        <v>4</v>
      </c>
      <c r="C50" s="222" t="s">
        <v>26</v>
      </c>
      <c r="D50" s="223"/>
      <c r="E50" s="4">
        <v>0</v>
      </c>
      <c r="F50" s="4">
        <f>IF(($D$2*E50)&gt;40,0.017,IF(AND(8&lt;=($D$2*E50),($D$2*E50)&lt;=40),0.0425,0.085))*5</f>
        <v>0.42500000000000004</v>
      </c>
      <c r="G50" s="225">
        <f t="shared" ref="G50:G57" si="0">IF($D$2&gt;40,600,IF(AND(8&lt;=$D$2,$D$2&lt;=40),600,750))</f>
        <v>600</v>
      </c>
      <c r="H50" s="227">
        <f>E50*F50*G50</f>
        <v>0</v>
      </c>
      <c r="I50" s="4"/>
      <c r="J50" s="26"/>
      <c r="K50" s="26"/>
    </row>
    <row r="51" spans="1:15" ht="15.75" x14ac:dyDescent="0.25">
      <c r="A51" s="5"/>
      <c r="B51" s="4">
        <v>5</v>
      </c>
      <c r="C51" s="222" t="s">
        <v>172</v>
      </c>
      <c r="D51" s="223"/>
      <c r="E51" s="4">
        <v>12</v>
      </c>
      <c r="F51" s="4">
        <v>8.5000000000000006E-3</v>
      </c>
      <c r="G51" s="225">
        <f t="shared" si="0"/>
        <v>600</v>
      </c>
      <c r="H51" s="227">
        <f t="shared" ref="H51:H54" si="1">E51*F51*G51</f>
        <v>61.2</v>
      </c>
      <c r="I51" s="4"/>
      <c r="J51" s="26"/>
      <c r="K51" s="26"/>
    </row>
    <row r="52" spans="1:15" ht="15.75" x14ac:dyDescent="0.25">
      <c r="A52" s="5"/>
      <c r="B52" s="4">
        <v>6</v>
      </c>
      <c r="C52" s="222" t="s">
        <v>28</v>
      </c>
      <c r="D52" s="223"/>
      <c r="E52" s="4">
        <v>16</v>
      </c>
      <c r="F52" s="4">
        <v>3.4000000000000002E-2</v>
      </c>
      <c r="G52" s="225">
        <f t="shared" si="0"/>
        <v>600</v>
      </c>
      <c r="H52" s="227">
        <f>IF(E52&gt;0,(E52*F52*G52+((60/D2)*0.017*G52)),0)</f>
        <v>327.71896551724143</v>
      </c>
      <c r="I52" s="4"/>
      <c r="J52" s="26"/>
      <c r="K52" s="26"/>
    </row>
    <row r="53" spans="1:15" ht="15.75" x14ac:dyDescent="0.25">
      <c r="A53" s="5"/>
      <c r="B53" s="4">
        <v>7</v>
      </c>
      <c r="C53" s="222" t="s">
        <v>182</v>
      </c>
      <c r="D53" s="223"/>
      <c r="E53" s="4">
        <v>0</v>
      </c>
      <c r="F53" s="4">
        <v>1.7000000000000001E-2</v>
      </c>
      <c r="G53" s="225">
        <f t="shared" si="0"/>
        <v>600</v>
      </c>
      <c r="H53" s="227">
        <f t="shared" ref="H53" si="2">E53*F53*G53</f>
        <v>0</v>
      </c>
      <c r="I53" s="4"/>
      <c r="J53" s="26"/>
      <c r="K53" s="26"/>
    </row>
    <row r="54" spans="1:15" ht="15.75" x14ac:dyDescent="0.25">
      <c r="A54" s="5"/>
      <c r="B54" s="4">
        <v>8</v>
      </c>
      <c r="C54" s="222" t="s">
        <v>27</v>
      </c>
      <c r="D54" s="223"/>
      <c r="E54" s="4">
        <v>0</v>
      </c>
      <c r="F54" s="4">
        <v>1.7000000000000001E-2</v>
      </c>
      <c r="G54" s="225">
        <f t="shared" si="0"/>
        <v>600</v>
      </c>
      <c r="H54" s="227">
        <f t="shared" si="1"/>
        <v>0</v>
      </c>
      <c r="I54" s="4"/>
      <c r="J54" s="26"/>
      <c r="K54" s="26"/>
    </row>
    <row r="55" spans="1:15" ht="15.75" x14ac:dyDescent="0.25">
      <c r="A55" s="5"/>
      <c r="B55" s="4">
        <v>9</v>
      </c>
      <c r="C55" s="222" t="s">
        <v>25</v>
      </c>
      <c r="D55" s="223"/>
      <c r="E55" s="4">
        <v>8</v>
      </c>
      <c r="F55" s="4">
        <f>IF(($D$2*E55)&gt;40,0.0085,IF(AND(8&lt;=($D$2*E55),($D$2*E55)&lt;=40),0.014,0.034))*3</f>
        <v>2.5500000000000002E-2</v>
      </c>
      <c r="G55" s="225">
        <f t="shared" si="0"/>
        <v>600</v>
      </c>
      <c r="H55" s="227">
        <f t="shared" ref="H55" si="3">E55*F55*G55</f>
        <v>122.4</v>
      </c>
      <c r="I55" s="4"/>
      <c r="J55" s="26"/>
      <c r="K55" s="26"/>
    </row>
    <row r="56" spans="1:15" ht="15.75" customHeight="1" x14ac:dyDescent="0.25">
      <c r="A56" s="5"/>
      <c r="B56" s="4">
        <v>10</v>
      </c>
      <c r="C56" s="222" t="s">
        <v>12</v>
      </c>
      <c r="D56" s="223"/>
      <c r="E56" s="4">
        <v>10</v>
      </c>
      <c r="F56" s="4">
        <v>1.7000000000000001E-2</v>
      </c>
      <c r="G56" s="225">
        <f t="shared" si="0"/>
        <v>600</v>
      </c>
      <c r="H56" s="227">
        <f t="shared" ref="H56:H58" si="4">E56*F56*G56</f>
        <v>102.00000000000001</v>
      </c>
      <c r="I56" s="4"/>
      <c r="J56" s="26"/>
      <c r="K56" s="26"/>
    </row>
    <row r="57" spans="1:15" ht="15.75" x14ac:dyDescent="0.25">
      <c r="A57" s="5"/>
      <c r="B57" s="4">
        <v>11</v>
      </c>
      <c r="C57" s="222" t="s">
        <v>13</v>
      </c>
      <c r="D57" s="223"/>
      <c r="E57" s="4">
        <v>15</v>
      </c>
      <c r="F57" s="4">
        <v>1.7000000000000001E-2</v>
      </c>
      <c r="G57" s="225">
        <f t="shared" si="0"/>
        <v>600</v>
      </c>
      <c r="H57" s="227">
        <f t="shared" si="4"/>
        <v>153</v>
      </c>
      <c r="I57" s="4"/>
      <c r="J57" s="26"/>
      <c r="K57" s="26"/>
    </row>
    <row r="58" spans="1:15" ht="15.75" x14ac:dyDescent="0.25">
      <c r="A58" s="5"/>
      <c r="B58" s="4">
        <v>12</v>
      </c>
      <c r="C58" s="222" t="s">
        <v>112</v>
      </c>
      <c r="D58" s="223"/>
      <c r="E58" s="4">
        <v>5.36</v>
      </c>
      <c r="F58" s="4">
        <v>0.8</v>
      </c>
      <c r="G58" s="90">
        <v>220</v>
      </c>
      <c r="H58" s="227">
        <f t="shared" si="4"/>
        <v>943.36</v>
      </c>
      <c r="I58" s="4"/>
      <c r="J58" s="26"/>
      <c r="K58" s="26"/>
    </row>
    <row r="59" spans="1:15" ht="15.75" customHeight="1" x14ac:dyDescent="0.25">
      <c r="A59" s="5"/>
      <c r="B59" s="4">
        <v>13</v>
      </c>
      <c r="C59" s="222" t="s">
        <v>14</v>
      </c>
      <c r="D59" s="223"/>
      <c r="E59" s="4">
        <v>0</v>
      </c>
      <c r="F59" s="4"/>
      <c r="G59" s="7"/>
      <c r="H59" s="227">
        <f>SUM(J115:J404)</f>
        <v>3020.3531250000001</v>
      </c>
      <c r="I59" s="4"/>
      <c r="J59" s="29"/>
      <c r="K59" s="29"/>
    </row>
    <row r="60" spans="1:15" ht="15.75" x14ac:dyDescent="0.25">
      <c r="A60" s="5"/>
      <c r="B60" s="5"/>
      <c r="C60" s="5"/>
      <c r="D60" s="5"/>
      <c r="E60" s="285" t="s">
        <v>187</v>
      </c>
      <c r="F60" s="285"/>
      <c r="G60" s="285"/>
      <c r="H60" s="191">
        <f>IF(($D$2&lt;=7),(SUM(H47:H59))*2,SUM(H47:H59))+L62</f>
        <v>6491.5646077586216</v>
      </c>
      <c r="J60" s="265" t="s">
        <v>272</v>
      </c>
      <c r="K60" s="265"/>
      <c r="L60" s="265"/>
      <c r="O60" s="198"/>
    </row>
    <row r="61" spans="1:15" x14ac:dyDescent="0.2">
      <c r="A61" s="5"/>
      <c r="B61" s="5"/>
      <c r="C61" s="5"/>
      <c r="D61" s="5"/>
      <c r="E61" s="35">
        <v>0.3</v>
      </c>
      <c r="F61" s="5" t="s">
        <v>21</v>
      </c>
      <c r="G61" s="5"/>
      <c r="H61" s="36">
        <f>E61*H60</f>
        <v>1947.4693823275863</v>
      </c>
      <c r="J61" s="238" t="s">
        <v>273</v>
      </c>
      <c r="K61" s="238" t="s">
        <v>274</v>
      </c>
      <c r="L61" s="238" t="s">
        <v>275</v>
      </c>
    </row>
    <row r="62" spans="1:15" x14ac:dyDescent="0.2">
      <c r="A62" s="5"/>
      <c r="B62" s="5"/>
      <c r="C62" s="5"/>
      <c r="D62" s="5"/>
      <c r="E62" s="5"/>
      <c r="F62" s="5" t="s">
        <v>22</v>
      </c>
      <c r="G62" s="5"/>
      <c r="H62" s="36">
        <f>H61+H60+H42+H41</f>
        <v>22663.709523336205</v>
      </c>
      <c r="J62" s="239">
        <f>SUM(M115:M1056)/60</f>
        <v>8.8900862068965525E-2</v>
      </c>
      <c r="K62" s="26">
        <v>600</v>
      </c>
      <c r="L62" s="26">
        <f>J62*K62</f>
        <v>53.340517241379317</v>
      </c>
    </row>
    <row r="63" spans="1:15" x14ac:dyDescent="0.2">
      <c r="A63" s="5"/>
      <c r="B63" s="5"/>
      <c r="C63" s="5"/>
      <c r="D63" s="5"/>
      <c r="E63" s="35">
        <v>0.15</v>
      </c>
      <c r="F63" s="5" t="s">
        <v>23</v>
      </c>
      <c r="G63" s="5"/>
      <c r="H63" s="36">
        <f>E63*H62</f>
        <v>3399.5564285004307</v>
      </c>
    </row>
    <row r="64" spans="1:15" x14ac:dyDescent="0.2">
      <c r="A64" s="5"/>
      <c r="B64" s="5"/>
      <c r="C64" s="5"/>
      <c r="D64" s="5"/>
      <c r="E64" s="5"/>
      <c r="F64" s="5" t="s">
        <v>24</v>
      </c>
      <c r="G64" s="5"/>
      <c r="H64" s="36">
        <f>H62+H63+(H4*1000/$D$2)</f>
        <v>26063.265951836634</v>
      </c>
    </row>
    <row r="65" spans="1:9" x14ac:dyDescent="0.2">
      <c r="A65" s="5"/>
      <c r="B65" s="5"/>
      <c r="C65" s="5"/>
      <c r="D65" s="5"/>
      <c r="E65" s="5"/>
      <c r="F65" s="5" t="s">
        <v>242</v>
      </c>
      <c r="G65" s="5"/>
    </row>
    <row r="66" spans="1:9" ht="15.75" x14ac:dyDescent="0.25">
      <c r="A66" s="5"/>
      <c r="B66" s="5"/>
      <c r="C66" s="5"/>
      <c r="D66" s="5"/>
      <c r="E66" s="5"/>
      <c r="F66" s="5"/>
      <c r="G66" s="5"/>
      <c r="H66" s="196">
        <f>H64*1.2</f>
        <v>31275.919142203958</v>
      </c>
      <c r="I66" s="1" t="s">
        <v>184</v>
      </c>
    </row>
    <row r="67" spans="1:9" x14ac:dyDescent="0.2">
      <c r="A67" s="5"/>
      <c r="B67" s="5"/>
      <c r="C67" s="5"/>
      <c r="D67" s="5"/>
      <c r="E67" s="5"/>
      <c r="F67" s="5"/>
      <c r="G67" s="5"/>
    </row>
    <row r="68" spans="1:9" ht="15.75" hidden="1" outlineLevel="1" x14ac:dyDescent="0.25">
      <c r="A68" s="5"/>
      <c r="B68" s="192" t="s">
        <v>186</v>
      </c>
      <c r="D68" s="5"/>
      <c r="F68" s="5" t="s">
        <v>240</v>
      </c>
      <c r="G68" s="5" t="s">
        <v>241</v>
      </c>
    </row>
    <row r="69" spans="1:9" hidden="1" outlineLevel="1" x14ac:dyDescent="0.2">
      <c r="A69" s="5"/>
      <c r="B69" s="202" t="str">
        <f>B16</f>
        <v>Услуги</v>
      </c>
      <c r="C69" s="199"/>
      <c r="D69" s="200"/>
      <c r="E69" s="199"/>
      <c r="F69" s="209">
        <f>F70</f>
        <v>0.191</v>
      </c>
      <c r="G69" s="201">
        <f>IFERROR((H16/$H$64),0)</f>
        <v>7.6283050320671578E-2</v>
      </c>
    </row>
    <row r="70" spans="1:9" hidden="1" outlineLevel="1" x14ac:dyDescent="0.2">
      <c r="A70" s="5"/>
      <c r="B70" s="194" t="s">
        <v>188</v>
      </c>
      <c r="C70" s="193" t="s">
        <v>189</v>
      </c>
      <c r="F70" s="210">
        <v>0.191</v>
      </c>
    </row>
    <row r="71" spans="1:9" ht="7.5" hidden="1" customHeight="1" outlineLevel="1" x14ac:dyDescent="0.2">
      <c r="A71" s="5"/>
      <c r="B71" s="194"/>
      <c r="C71" s="193"/>
      <c r="F71" s="195"/>
    </row>
    <row r="72" spans="1:9" hidden="1" outlineLevel="1" x14ac:dyDescent="0.2">
      <c r="A72" s="5"/>
      <c r="B72" s="199" t="str">
        <f>B26</f>
        <v>Материальная часть</v>
      </c>
      <c r="C72" s="199"/>
      <c r="D72" s="200"/>
      <c r="E72" s="200"/>
      <c r="F72" s="209">
        <f>F73</f>
        <v>0.30599999999999999</v>
      </c>
      <c r="G72" s="201">
        <f>IFERROR((H26/$H$64),0)</f>
        <v>0.44850047655582731</v>
      </c>
    </row>
    <row r="73" spans="1:9" hidden="1" outlineLevel="1" x14ac:dyDescent="0.2">
      <c r="A73" s="5"/>
      <c r="B73" s="194" t="s">
        <v>190</v>
      </c>
      <c r="C73" s="193" t="s">
        <v>191</v>
      </c>
      <c r="D73" s="5"/>
      <c r="E73" s="5"/>
      <c r="F73" s="211">
        <v>0.30599999999999999</v>
      </c>
    </row>
    <row r="74" spans="1:9" ht="7.5" hidden="1" customHeight="1" outlineLevel="1" x14ac:dyDescent="0.2">
      <c r="A74" s="5"/>
      <c r="B74" s="194"/>
      <c r="C74" s="193"/>
      <c r="D74" s="5"/>
      <c r="E74" s="5"/>
      <c r="F74" s="198"/>
    </row>
    <row r="75" spans="1:9" hidden="1" outlineLevel="1" x14ac:dyDescent="0.2">
      <c r="A75" s="5"/>
      <c r="B75" s="199" t="str">
        <f>E60</f>
        <v>Трудозатраты</v>
      </c>
      <c r="C75" s="199"/>
      <c r="D75" s="200"/>
      <c r="E75" s="200"/>
      <c r="F75" s="208">
        <f>SUM(F76:F79)</f>
        <v>0.11599999999999999</v>
      </c>
      <c r="G75" s="201">
        <f>IFERROR((H60/$H$64),0)</f>
        <v>0.2490694995690351</v>
      </c>
    </row>
    <row r="76" spans="1:9" s="204" customFormat="1" hidden="1" outlineLevel="1" x14ac:dyDescent="0.2">
      <c r="A76" s="203"/>
      <c r="B76" s="206" t="s">
        <v>204</v>
      </c>
      <c r="C76" s="205" t="s">
        <v>200</v>
      </c>
      <c r="D76" s="203"/>
      <c r="E76" s="203"/>
      <c r="F76" s="212">
        <v>1.2999999999999999E-2</v>
      </c>
      <c r="G76" s="203"/>
    </row>
    <row r="77" spans="1:9" s="204" customFormat="1" hidden="1" outlineLevel="1" x14ac:dyDescent="0.2">
      <c r="A77" s="203"/>
      <c r="B77" s="206" t="s">
        <v>205</v>
      </c>
      <c r="C77" s="205" t="s">
        <v>201</v>
      </c>
      <c r="D77" s="203"/>
      <c r="E77" s="203"/>
      <c r="F77" s="212">
        <v>8.5999999999999993E-2</v>
      </c>
      <c r="G77" s="203"/>
    </row>
    <row r="78" spans="1:9" hidden="1" outlineLevel="1" x14ac:dyDescent="0.2">
      <c r="A78" s="5"/>
      <c r="B78" s="206" t="s">
        <v>228</v>
      </c>
      <c r="C78" s="205" t="s">
        <v>229</v>
      </c>
      <c r="D78" s="203"/>
      <c r="E78" s="203"/>
      <c r="F78" s="212">
        <v>6.0000000000000001E-3</v>
      </c>
      <c r="G78" s="203"/>
    </row>
    <row r="79" spans="1:9" hidden="1" outlineLevel="1" x14ac:dyDescent="0.2">
      <c r="A79" s="5"/>
      <c r="B79" s="194" t="s">
        <v>208</v>
      </c>
      <c r="C79" s="205" t="s">
        <v>209</v>
      </c>
      <c r="F79" s="211">
        <v>1.0999999999999999E-2</v>
      </c>
      <c r="G79" s="5"/>
    </row>
    <row r="80" spans="1:9" ht="7.5" hidden="1" customHeight="1" outlineLevel="1" x14ac:dyDescent="0.2">
      <c r="A80" s="5"/>
      <c r="B80" s="194"/>
      <c r="C80" s="205"/>
      <c r="F80" s="198"/>
      <c r="G80" s="5"/>
    </row>
    <row r="81" spans="1:7" hidden="1" outlineLevel="1" x14ac:dyDescent="0.2">
      <c r="A81" s="5"/>
      <c r="B81" s="199" t="str">
        <f>F42</f>
        <v>Расходы на снабжение</v>
      </c>
      <c r="C81" s="199"/>
      <c r="D81" s="200"/>
      <c r="E81" s="200"/>
      <c r="F81" s="208">
        <f>SUM(F82:F87)</f>
        <v>4.3999999999999997E-2</v>
      </c>
      <c r="G81" s="201">
        <f>IFERROR((H42/$H$64),0)</f>
        <v>2.0991341075059958E-2</v>
      </c>
    </row>
    <row r="82" spans="1:7" hidden="1" outlineLevel="1" x14ac:dyDescent="0.2">
      <c r="A82" s="5"/>
      <c r="B82" s="194" t="s">
        <v>197</v>
      </c>
      <c r="C82" s="193" t="s">
        <v>198</v>
      </c>
      <c r="D82" s="5"/>
      <c r="E82" s="5"/>
      <c r="F82" s="210">
        <v>4.0000000000000001E-3</v>
      </c>
      <c r="G82" s="5"/>
    </row>
    <row r="83" spans="1:7" hidden="1" outlineLevel="1" x14ac:dyDescent="0.2">
      <c r="A83" s="5"/>
      <c r="B83" s="194" t="s">
        <v>206</v>
      </c>
      <c r="C83" s="205" t="s">
        <v>207</v>
      </c>
      <c r="F83" s="211">
        <v>7.0000000000000001E-3</v>
      </c>
      <c r="G83" s="5"/>
    </row>
    <row r="84" spans="1:7" hidden="1" outlineLevel="1" x14ac:dyDescent="0.2">
      <c r="A84" s="5"/>
      <c r="B84" s="194" t="s">
        <v>210</v>
      </c>
      <c r="C84" s="205" t="s">
        <v>211</v>
      </c>
      <c r="F84" s="211">
        <v>2E-3</v>
      </c>
      <c r="G84" s="5"/>
    </row>
    <row r="85" spans="1:7" hidden="1" outlineLevel="1" x14ac:dyDescent="0.2">
      <c r="A85" s="5"/>
      <c r="B85" s="194" t="s">
        <v>216</v>
      </c>
      <c r="C85" s="193" t="s">
        <v>217</v>
      </c>
      <c r="F85" s="211">
        <v>3.0000000000000001E-3</v>
      </c>
      <c r="G85" s="5"/>
    </row>
    <row r="86" spans="1:7" hidden="1" outlineLevel="1" x14ac:dyDescent="0.2">
      <c r="A86" s="5"/>
      <c r="B86" s="194" t="s">
        <v>193</v>
      </c>
      <c r="C86" s="193" t="s">
        <v>196</v>
      </c>
      <c r="D86" s="5"/>
      <c r="E86" s="5"/>
      <c r="F86" s="210">
        <v>2.5999999999999999E-2</v>
      </c>
      <c r="G86" s="5"/>
    </row>
    <row r="87" spans="1:7" hidden="1" outlineLevel="1" x14ac:dyDescent="0.2">
      <c r="A87" s="5"/>
      <c r="B87" s="194" t="s">
        <v>194</v>
      </c>
      <c r="C87" s="193" t="s">
        <v>195</v>
      </c>
      <c r="D87" s="5"/>
      <c r="E87" s="5"/>
      <c r="F87" s="210">
        <v>2E-3</v>
      </c>
      <c r="G87" s="5"/>
    </row>
    <row r="88" spans="1:7" ht="7.5" hidden="1" customHeight="1" outlineLevel="1" x14ac:dyDescent="0.2">
      <c r="A88" s="5"/>
      <c r="B88" s="194"/>
      <c r="C88" s="205"/>
      <c r="F88" s="198"/>
      <c r="G88" s="5"/>
    </row>
    <row r="89" spans="1:7" hidden="1" outlineLevel="1" x14ac:dyDescent="0.2">
      <c r="A89" s="5"/>
      <c r="B89" s="199" t="str">
        <f>F61</f>
        <v>Маржа на работу</v>
      </c>
      <c r="C89" s="199"/>
      <c r="D89" s="200"/>
      <c r="E89" s="200"/>
      <c r="F89" s="208">
        <f>SUM(F90:F92)</f>
        <v>4.9999999999999996E-2</v>
      </c>
      <c r="G89" s="201">
        <f>IFERROR((H61/$H$64),0)</f>
        <v>7.4720849870710523E-2</v>
      </c>
    </row>
    <row r="90" spans="1:7" hidden="1" outlineLevel="1" x14ac:dyDescent="0.2">
      <c r="A90" s="5"/>
      <c r="B90" s="194" t="s">
        <v>202</v>
      </c>
      <c r="C90" s="205" t="s">
        <v>230</v>
      </c>
      <c r="F90" s="211">
        <v>0.02</v>
      </c>
      <c r="G90" s="5"/>
    </row>
    <row r="91" spans="1:7" s="204" customFormat="1" hidden="1" outlineLevel="1" x14ac:dyDescent="0.2">
      <c r="A91" s="203"/>
      <c r="B91" s="206" t="s">
        <v>203</v>
      </c>
      <c r="C91" s="205" t="s">
        <v>199</v>
      </c>
      <c r="D91" s="203"/>
      <c r="E91" s="203"/>
      <c r="F91" s="212">
        <v>2.5000000000000001E-2</v>
      </c>
      <c r="G91" s="203"/>
    </row>
    <row r="92" spans="1:7" hidden="1" outlineLevel="1" x14ac:dyDescent="0.2">
      <c r="A92" s="5"/>
      <c r="B92" s="206" t="s">
        <v>214</v>
      </c>
      <c r="C92" s="205" t="s">
        <v>212</v>
      </c>
      <c r="D92" s="203"/>
      <c r="E92" s="203"/>
      <c r="F92" s="212">
        <v>5.0000000000000001E-3</v>
      </c>
      <c r="G92" s="203"/>
    </row>
    <row r="93" spans="1:7" ht="7.5" hidden="1" customHeight="1" outlineLevel="1" x14ac:dyDescent="0.2">
      <c r="A93" s="5"/>
      <c r="B93" s="206"/>
      <c r="C93" s="205"/>
      <c r="D93" s="203"/>
      <c r="E93" s="203"/>
      <c r="F93" s="207"/>
      <c r="G93" s="203"/>
    </row>
    <row r="94" spans="1:7" hidden="1" outlineLevel="1" x14ac:dyDescent="0.2">
      <c r="A94" s="5"/>
      <c r="B94" s="199" t="str">
        <f>F63</f>
        <v>Наценка торговая</v>
      </c>
      <c r="C94" s="199"/>
      <c r="D94" s="200"/>
      <c r="E94" s="200"/>
      <c r="F94" s="208">
        <f>SUM(F95:F105)</f>
        <v>0.29300000000000004</v>
      </c>
      <c r="G94" s="201">
        <f>IFERROR((H63/$H$64),0)</f>
        <v>0.13043478260869565</v>
      </c>
    </row>
    <row r="95" spans="1:7" hidden="1" outlineLevel="1" x14ac:dyDescent="0.2">
      <c r="A95" s="5"/>
      <c r="B95" s="206" t="s">
        <v>227</v>
      </c>
      <c r="C95" s="205" t="s">
        <v>226</v>
      </c>
      <c r="D95" s="203"/>
      <c r="E95" s="203"/>
      <c r="F95" s="212">
        <v>3.1E-2</v>
      </c>
      <c r="G95" s="203"/>
    </row>
    <row r="96" spans="1:7" hidden="1" outlineLevel="1" x14ac:dyDescent="0.2">
      <c r="A96" s="5"/>
      <c r="B96" s="194" t="s">
        <v>219</v>
      </c>
      <c r="C96" s="193" t="s">
        <v>218</v>
      </c>
      <c r="F96" s="211">
        <v>5.0000000000000001E-3</v>
      </c>
      <c r="G96" s="5"/>
    </row>
    <row r="97" spans="1:12" hidden="1" outlineLevel="1" x14ac:dyDescent="0.2">
      <c r="A97" s="5"/>
      <c r="B97" s="194" t="s">
        <v>221</v>
      </c>
      <c r="C97" s="193" t="s">
        <v>220</v>
      </c>
      <c r="F97" s="211">
        <v>7.0000000000000001E-3</v>
      </c>
      <c r="G97" s="5"/>
    </row>
    <row r="98" spans="1:12" hidden="1" outlineLevel="1" x14ac:dyDescent="0.2">
      <c r="A98" s="5"/>
      <c r="B98" s="206" t="s">
        <v>233</v>
      </c>
      <c r="C98" s="205" t="s">
        <v>234</v>
      </c>
      <c r="D98" s="203"/>
      <c r="E98" s="203"/>
      <c r="F98" s="212">
        <v>6.0000000000000001E-3</v>
      </c>
      <c r="G98" s="203"/>
    </row>
    <row r="99" spans="1:12" hidden="1" outlineLevel="1" x14ac:dyDescent="0.2">
      <c r="A99" s="5"/>
      <c r="B99" s="206" t="s">
        <v>231</v>
      </c>
      <c r="C99" s="205" t="s">
        <v>232</v>
      </c>
      <c r="D99" s="203"/>
      <c r="E99" s="203"/>
      <c r="F99" s="212">
        <v>5.0000000000000001E-3</v>
      </c>
      <c r="G99" s="203"/>
    </row>
    <row r="100" spans="1:12" hidden="1" outlineLevel="1" x14ac:dyDescent="0.2">
      <c r="A100" s="5"/>
      <c r="B100" s="194" t="s">
        <v>224</v>
      </c>
      <c r="C100" s="193" t="s">
        <v>225</v>
      </c>
      <c r="F100" s="211">
        <v>0.12</v>
      </c>
      <c r="G100" s="5"/>
    </row>
    <row r="101" spans="1:12" hidden="1" outlineLevel="1" x14ac:dyDescent="0.2">
      <c r="A101" s="5"/>
      <c r="B101" s="194" t="s">
        <v>222</v>
      </c>
      <c r="C101" s="205" t="s">
        <v>223</v>
      </c>
      <c r="F101" s="211">
        <v>1.6E-2</v>
      </c>
      <c r="G101" s="5"/>
    </row>
    <row r="102" spans="1:12" hidden="1" outlineLevel="1" x14ac:dyDescent="0.2">
      <c r="A102" s="5"/>
      <c r="B102" s="206" t="s">
        <v>235</v>
      </c>
      <c r="C102" s="205" t="s">
        <v>236</v>
      </c>
      <c r="D102" s="203"/>
      <c r="E102" s="203"/>
      <c r="F102" s="212">
        <v>4.0000000000000001E-3</v>
      </c>
      <c r="G102" s="203"/>
    </row>
    <row r="103" spans="1:12" hidden="1" outlineLevel="1" x14ac:dyDescent="0.2">
      <c r="A103" s="5"/>
      <c r="B103" s="206"/>
      <c r="C103" s="213" t="s">
        <v>238</v>
      </c>
      <c r="D103" s="203"/>
      <c r="E103" s="203"/>
      <c r="F103" s="212">
        <v>0.03</v>
      </c>
      <c r="G103" s="203"/>
    </row>
    <row r="104" spans="1:12" hidden="1" outlineLevel="1" x14ac:dyDescent="0.2">
      <c r="A104" s="5"/>
      <c r="B104" s="206"/>
      <c r="C104" s="213" t="s">
        <v>239</v>
      </c>
      <c r="D104" s="203"/>
      <c r="E104" s="203"/>
      <c r="F104" s="212">
        <v>0.05</v>
      </c>
      <c r="G104" s="203"/>
    </row>
    <row r="105" spans="1:12" hidden="1" outlineLevel="1" x14ac:dyDescent="0.2">
      <c r="A105" s="5"/>
      <c r="B105" s="194"/>
      <c r="C105" s="213" t="s">
        <v>237</v>
      </c>
      <c r="F105" s="211">
        <v>1.9E-2</v>
      </c>
      <c r="G105" s="5"/>
    </row>
    <row r="106" spans="1:12" ht="7.5" hidden="1" customHeight="1" outlineLevel="1" x14ac:dyDescent="0.2">
      <c r="A106" s="5"/>
      <c r="B106" s="206"/>
      <c r="C106" s="205"/>
      <c r="D106" s="203"/>
      <c r="E106" s="203"/>
      <c r="F106" s="207"/>
      <c r="G106" s="203"/>
    </row>
    <row r="107" spans="1:12" hidden="1" outlineLevel="1" x14ac:dyDescent="0.2">
      <c r="A107" s="5"/>
      <c r="B107" s="199" t="str">
        <f>F65</f>
        <v>Доставка</v>
      </c>
      <c r="C107" s="199"/>
      <c r="D107" s="200"/>
      <c r="E107" s="200"/>
      <c r="F107" s="208">
        <f>F108</f>
        <v>5.2999999999999999E-2</v>
      </c>
      <c r="G107" s="201">
        <f>IFERROR((#REF!/H101),0)</f>
        <v>0</v>
      </c>
    </row>
    <row r="108" spans="1:12" hidden="1" outlineLevel="1" x14ac:dyDescent="0.2">
      <c r="A108" s="5"/>
      <c r="B108" s="194" t="s">
        <v>215</v>
      </c>
      <c r="C108" s="193" t="s">
        <v>213</v>
      </c>
      <c r="F108" s="211">
        <v>5.2999999999999999E-2</v>
      </c>
      <c r="G108" s="5"/>
    </row>
    <row r="109" spans="1:12" collapsed="1" x14ac:dyDescent="0.2">
      <c r="A109" s="5"/>
      <c r="G109" s="5"/>
    </row>
    <row r="111" spans="1:12" ht="25.5" customHeight="1" x14ac:dyDescent="0.2">
      <c r="B111" s="275" t="s">
        <v>17</v>
      </c>
      <c r="C111" s="275"/>
      <c r="D111" s="275"/>
      <c r="E111" s="275"/>
      <c r="F111" s="275"/>
      <c r="G111" s="275"/>
      <c r="H111" s="275"/>
      <c r="I111" s="275"/>
      <c r="J111" s="275"/>
      <c r="K111" s="275"/>
      <c r="L111" s="275"/>
    </row>
    <row r="113" spans="2:13" ht="15.75" thickBot="1" x14ac:dyDescent="0.25">
      <c r="B113" s="1" t="s">
        <v>0</v>
      </c>
      <c r="C113" s="2" t="s">
        <v>10</v>
      </c>
    </row>
    <row r="114" spans="2:13" ht="63.75" x14ac:dyDescent="0.2">
      <c r="B114" s="252">
        <v>1</v>
      </c>
      <c r="C114" s="250"/>
      <c r="D114" s="11" t="s">
        <v>9</v>
      </c>
      <c r="E114" s="12" t="s">
        <v>5</v>
      </c>
      <c r="F114" s="11" t="s">
        <v>6</v>
      </c>
      <c r="G114" s="11" t="s">
        <v>7</v>
      </c>
      <c r="H114" s="11" t="s">
        <v>8</v>
      </c>
      <c r="I114" s="12" t="s">
        <v>19</v>
      </c>
      <c r="J114" s="21" t="s">
        <v>20</v>
      </c>
      <c r="K114" s="32" t="s">
        <v>179</v>
      </c>
      <c r="L114" s="33" t="s">
        <v>180</v>
      </c>
      <c r="M114" s="33" t="s">
        <v>276</v>
      </c>
    </row>
    <row r="115" spans="2:13" ht="15.75" x14ac:dyDescent="0.2">
      <c r="B115" s="253"/>
      <c r="C115" s="251"/>
      <c r="D115" s="184">
        <v>1</v>
      </c>
      <c r="E115" s="14">
        <v>0.3</v>
      </c>
      <c r="F115" s="14">
        <f>IF($D$2*D115&lt;=200,0.33,0.25)</f>
        <v>0.25</v>
      </c>
      <c r="G115" s="14">
        <f>E115*F115</f>
        <v>7.4999999999999997E-2</v>
      </c>
      <c r="H115" s="15">
        <f>IF(($D$2*D115)&gt;40,750,IF(AND(8&lt;=($D$2*D115),($D$2*D115)&lt;=40),850,1000))</f>
        <v>750</v>
      </c>
      <c r="I115" s="15">
        <f>(E115*F115*H115)</f>
        <v>56.25</v>
      </c>
      <c r="J115" s="22">
        <f>D115*I115</f>
        <v>56.25</v>
      </c>
      <c r="K115" s="186"/>
      <c r="L115" s="233"/>
      <c r="M115" s="286">
        <f>IFERROR((180/($D$2*D115)),0)</f>
        <v>0.38793103448275862</v>
      </c>
    </row>
    <row r="116" spans="2:13" ht="15.75" customHeight="1" thickBot="1" x14ac:dyDescent="0.25">
      <c r="B116" s="254"/>
      <c r="C116" s="16"/>
      <c r="D116" s="187">
        <v>1</v>
      </c>
      <c r="E116" s="17">
        <v>2</v>
      </c>
      <c r="F116" s="230">
        <f>IF($D$2*D115&lt;=200,0.017,0.0085)</f>
        <v>8.5000000000000006E-3</v>
      </c>
      <c r="G116" s="18">
        <f>E116*F116</f>
        <v>1.7000000000000001E-2</v>
      </c>
      <c r="H116" s="188">
        <f>IF(($D$2*D116)&gt;40,750,IF(AND(8&lt;=($D$2*D116),($D$2*D116)&lt;=40),850,1000))</f>
        <v>750</v>
      </c>
      <c r="I116" s="188">
        <f>(E116*F116*H116)</f>
        <v>12.750000000000002</v>
      </c>
      <c r="J116" s="23">
        <f>D116*I116</f>
        <v>12.750000000000002</v>
      </c>
      <c r="K116" s="189">
        <f>G115*D115+G116*D116</f>
        <v>9.1999999999999998E-2</v>
      </c>
      <c r="L116" s="234">
        <f>J115+J116</f>
        <v>69</v>
      </c>
      <c r="M116" s="287"/>
    </row>
    <row r="117" spans="2:13" hidden="1" outlineLevel="1" x14ac:dyDescent="0.2">
      <c r="B117" s="20"/>
      <c r="C117" s="20" t="s">
        <v>376</v>
      </c>
      <c r="D117" s="185">
        <v>1</v>
      </c>
      <c r="E117" s="20"/>
      <c r="F117" s="20"/>
      <c r="G117" s="20"/>
      <c r="H117" s="20"/>
      <c r="I117" s="20"/>
      <c r="J117" s="24"/>
      <c r="K117" s="30"/>
      <c r="L117" s="235"/>
      <c r="M117" s="26"/>
    </row>
    <row r="118" spans="2:13" hidden="1" outlineLevel="1" x14ac:dyDescent="0.2">
      <c r="B118" s="19"/>
      <c r="C118" s="20" t="s">
        <v>377</v>
      </c>
      <c r="D118" s="185">
        <v>1</v>
      </c>
      <c r="E118" s="19"/>
      <c r="F118" s="19"/>
      <c r="G118" s="19"/>
      <c r="H118" s="19"/>
      <c r="I118" s="19"/>
      <c r="J118" s="25"/>
      <c r="K118" s="26"/>
      <c r="L118" s="104"/>
      <c r="M118" s="26"/>
    </row>
    <row r="119" spans="2:13" hidden="1" outlineLevel="1" x14ac:dyDescent="0.2">
      <c r="B119" s="19"/>
      <c r="C119" s="20"/>
      <c r="D119" s="185"/>
      <c r="E119" s="19"/>
      <c r="F119" s="19"/>
      <c r="G119" s="19"/>
      <c r="H119" s="19"/>
      <c r="I119" s="19"/>
      <c r="J119" s="25"/>
      <c r="K119" s="26"/>
      <c r="L119" s="104"/>
      <c r="M119" s="26"/>
    </row>
    <row r="120" spans="2:13" hidden="1" outlineLevel="1" x14ac:dyDescent="0.2">
      <c r="B120" s="19"/>
      <c r="C120" s="20"/>
      <c r="D120" s="185"/>
      <c r="E120" s="19"/>
      <c r="F120" s="19"/>
      <c r="G120" s="19"/>
      <c r="H120" s="19"/>
      <c r="I120" s="19"/>
      <c r="J120" s="25"/>
      <c r="K120" s="26"/>
      <c r="L120" s="104"/>
      <c r="M120" s="26"/>
    </row>
    <row r="121" spans="2:13" hidden="1" outlineLevel="1" x14ac:dyDescent="0.2">
      <c r="B121" s="19"/>
      <c r="C121" s="20"/>
      <c r="D121" s="185"/>
      <c r="E121" s="19"/>
      <c r="F121" s="19"/>
      <c r="G121" s="19"/>
      <c r="H121" s="19"/>
      <c r="I121" s="19"/>
      <c r="J121" s="25"/>
      <c r="K121" s="26"/>
      <c r="L121" s="104"/>
      <c r="M121" s="26"/>
    </row>
    <row r="122" spans="2:13" ht="15.75" hidden="1" outlineLevel="1" thickBot="1" x14ac:dyDescent="0.25">
      <c r="B122" s="27"/>
      <c r="C122" s="20"/>
      <c r="D122" s="185"/>
      <c r="E122" s="27"/>
      <c r="F122" s="27"/>
      <c r="G122" s="27"/>
      <c r="H122" s="27"/>
      <c r="I122" s="27"/>
      <c r="J122" s="28"/>
      <c r="K122" s="29"/>
      <c r="L122" s="236"/>
      <c r="M122" s="26"/>
    </row>
    <row r="123" spans="2:13" customFormat="1" ht="69.75" customHeight="1" collapsed="1" x14ac:dyDescent="0.2">
      <c r="B123" s="252">
        <v>2</v>
      </c>
      <c r="C123" s="250"/>
      <c r="D123" s="11" t="s">
        <v>9</v>
      </c>
      <c r="E123" s="12" t="s">
        <v>5</v>
      </c>
      <c r="F123" s="11" t="s">
        <v>6</v>
      </c>
      <c r="G123" s="11" t="s">
        <v>7</v>
      </c>
      <c r="H123" s="11" t="s">
        <v>8</v>
      </c>
      <c r="I123" s="12" t="s">
        <v>19</v>
      </c>
      <c r="J123" s="21" t="s">
        <v>20</v>
      </c>
      <c r="K123" s="32" t="s">
        <v>179</v>
      </c>
      <c r="L123" s="237" t="s">
        <v>180</v>
      </c>
      <c r="M123" s="33" t="s">
        <v>276</v>
      </c>
    </row>
    <row r="124" spans="2:13" customFormat="1" ht="15.75" x14ac:dyDescent="0.2">
      <c r="B124" s="253"/>
      <c r="C124" s="251"/>
      <c r="D124" s="184">
        <v>1</v>
      </c>
      <c r="E124" s="14">
        <v>1.36517</v>
      </c>
      <c r="F124" s="14">
        <f t="shared" ref="F124" si="5">IF($D$2*D124&lt;=200,0.33,0.25)</f>
        <v>0.25</v>
      </c>
      <c r="G124" s="14">
        <f t="shared" ref="G124:G125" si="6">E124*F124</f>
        <v>0.3412925</v>
      </c>
      <c r="H124" s="15">
        <f t="shared" ref="H124:H125" si="7">IF(($D$2*D124)&gt;40,750,IF(AND(8&lt;=($D$2*D124),($D$2*D124)&lt;=40),850,1000))</f>
        <v>750</v>
      </c>
      <c r="I124" s="15">
        <f t="shared" ref="I124:I125" si="8">(E124*F124*H124)</f>
        <v>255.96937499999999</v>
      </c>
      <c r="J124" s="22">
        <f>D124*I124</f>
        <v>255.96937499999999</v>
      </c>
      <c r="K124" s="186"/>
      <c r="L124" s="233"/>
      <c r="M124" s="286">
        <f>IFERROR((180/($D$2*D124)),0)</f>
        <v>0.38793103448275862</v>
      </c>
    </row>
    <row r="125" spans="2:13" customFormat="1" ht="13.5" customHeight="1" thickBot="1" x14ac:dyDescent="0.25">
      <c r="B125" s="254"/>
      <c r="C125" s="16"/>
      <c r="D125" s="187">
        <v>1</v>
      </c>
      <c r="E125" s="17">
        <v>21</v>
      </c>
      <c r="F125" s="230">
        <f t="shared" ref="F125" si="9">IF($D$2*D124&lt;=200,0.017,0.0085)</f>
        <v>8.5000000000000006E-3</v>
      </c>
      <c r="G125" s="18">
        <f t="shared" si="6"/>
        <v>0.17850000000000002</v>
      </c>
      <c r="H125" s="188">
        <f t="shared" si="7"/>
        <v>750</v>
      </c>
      <c r="I125" s="188">
        <f t="shared" si="8"/>
        <v>133.87500000000003</v>
      </c>
      <c r="J125" s="23">
        <f>D125*I125</f>
        <v>133.87500000000003</v>
      </c>
      <c r="K125" s="189">
        <f t="shared" ref="K125" si="10">G124*D124+G125*D125</f>
        <v>0.51979249999999999</v>
      </c>
      <c r="L125" s="234">
        <f t="shared" ref="L125" si="11">J124+J125</f>
        <v>389.84437500000001</v>
      </c>
      <c r="M125" s="287"/>
    </row>
    <row r="126" spans="2:13" customFormat="1" hidden="1" outlineLevel="1" x14ac:dyDescent="0.2">
      <c r="B126" s="20"/>
      <c r="C126" s="20" t="s">
        <v>378</v>
      </c>
      <c r="D126" s="185">
        <v>1</v>
      </c>
      <c r="E126" s="20"/>
      <c r="F126" s="20"/>
      <c r="G126" s="20"/>
      <c r="H126" s="20"/>
      <c r="I126" s="20"/>
      <c r="J126" s="24"/>
      <c r="K126" s="30"/>
      <c r="L126" s="235"/>
      <c r="M126" s="13"/>
    </row>
    <row r="127" spans="2:13" customFormat="1" outlineLevel="1" x14ac:dyDescent="0.2">
      <c r="B127" s="20"/>
      <c r="C127" s="20" t="s">
        <v>379</v>
      </c>
      <c r="D127" s="185">
        <v>6</v>
      </c>
      <c r="E127" s="20"/>
      <c r="F127" s="20"/>
      <c r="G127" s="20"/>
      <c r="H127" s="20"/>
      <c r="I127" s="20"/>
      <c r="J127" s="24"/>
      <c r="K127" s="30"/>
      <c r="L127" s="235"/>
      <c r="M127" s="13"/>
    </row>
    <row r="128" spans="2:13" customFormat="1" ht="15.75" outlineLevel="1" thickBot="1" x14ac:dyDescent="0.25">
      <c r="B128" s="20"/>
      <c r="C128" s="20" t="s">
        <v>380</v>
      </c>
      <c r="D128" s="185">
        <v>3</v>
      </c>
      <c r="E128" s="20"/>
      <c r="F128" s="20"/>
      <c r="G128" s="20"/>
      <c r="H128" s="20"/>
      <c r="I128" s="20"/>
      <c r="J128" s="24"/>
      <c r="K128" s="30"/>
      <c r="L128" s="235"/>
      <c r="M128" s="13"/>
    </row>
    <row r="129" spans="2:13" customFormat="1" hidden="1" outlineLevel="1" x14ac:dyDescent="0.2">
      <c r="B129" s="19"/>
      <c r="C129" s="20" t="s">
        <v>381</v>
      </c>
      <c r="D129" s="185">
        <v>4</v>
      </c>
      <c r="E129" s="19"/>
      <c r="F129" s="19"/>
      <c r="G129" s="19"/>
      <c r="H129" s="19"/>
      <c r="I129" s="19"/>
      <c r="J129" s="25"/>
      <c r="K129" s="26"/>
      <c r="L129" s="104"/>
      <c r="M129" s="13"/>
    </row>
    <row r="130" spans="2:13" customFormat="1" hidden="1" outlineLevel="1" x14ac:dyDescent="0.2">
      <c r="B130" s="19"/>
      <c r="C130" s="20" t="s">
        <v>382</v>
      </c>
      <c r="D130" s="185">
        <v>2</v>
      </c>
      <c r="E130" s="19"/>
      <c r="F130" s="19"/>
      <c r="G130" s="19"/>
      <c r="H130" s="19"/>
      <c r="I130" s="19"/>
      <c r="J130" s="25"/>
      <c r="K130" s="26"/>
      <c r="L130" s="104"/>
      <c r="M130" s="13"/>
    </row>
    <row r="131" spans="2:13" customFormat="1" ht="15" hidden="1" customHeight="1" outlineLevel="1" x14ac:dyDescent="0.2">
      <c r="B131" s="19"/>
      <c r="C131" s="20" t="s">
        <v>383</v>
      </c>
      <c r="D131" s="185">
        <v>1</v>
      </c>
      <c r="E131" s="19"/>
      <c r="F131" s="19"/>
      <c r="G131" s="19"/>
      <c r="H131" s="19"/>
      <c r="I131" s="19"/>
      <c r="J131" s="25"/>
      <c r="K131" s="26"/>
      <c r="L131" s="104"/>
      <c r="M131" s="13"/>
    </row>
    <row r="132" spans="2:13" customFormat="1" hidden="1" outlineLevel="1" x14ac:dyDescent="0.2">
      <c r="B132" s="19"/>
      <c r="C132" s="20" t="s">
        <v>384</v>
      </c>
      <c r="D132" s="185">
        <v>2</v>
      </c>
      <c r="E132" s="19"/>
      <c r="F132" s="19"/>
      <c r="G132" s="19"/>
      <c r="H132" s="19"/>
      <c r="I132" s="19"/>
      <c r="J132" s="25"/>
      <c r="K132" s="26"/>
      <c r="L132" s="104"/>
      <c r="M132" s="13"/>
    </row>
    <row r="133" spans="2:13" customFormat="1" ht="15.75" hidden="1" outlineLevel="1" thickBot="1" x14ac:dyDescent="0.25">
      <c r="B133" s="27"/>
      <c r="C133" s="20" t="s">
        <v>385</v>
      </c>
      <c r="D133" s="185">
        <v>2</v>
      </c>
      <c r="E133" s="27"/>
      <c r="F133" s="27"/>
      <c r="G133" s="27"/>
      <c r="H133" s="27"/>
      <c r="I133" s="27"/>
      <c r="J133" s="28"/>
      <c r="K133" s="29"/>
      <c r="L133" s="236"/>
      <c r="M133" s="13"/>
    </row>
    <row r="134" spans="2:13" ht="63.75" collapsed="1" x14ac:dyDescent="0.2">
      <c r="B134" s="252">
        <v>3</v>
      </c>
      <c r="C134" s="250"/>
      <c r="D134" s="11" t="s">
        <v>9</v>
      </c>
      <c r="E134" s="12" t="s">
        <v>5</v>
      </c>
      <c r="F134" s="11" t="s">
        <v>6</v>
      </c>
      <c r="G134" s="11" t="s">
        <v>7</v>
      </c>
      <c r="H134" s="11" t="s">
        <v>8</v>
      </c>
      <c r="I134" s="12" t="s">
        <v>19</v>
      </c>
      <c r="J134" s="21" t="s">
        <v>20</v>
      </c>
      <c r="K134" s="32" t="s">
        <v>179</v>
      </c>
      <c r="L134" s="237" t="s">
        <v>180</v>
      </c>
      <c r="M134" s="33" t="s">
        <v>276</v>
      </c>
    </row>
    <row r="135" spans="2:13" ht="15.75" x14ac:dyDescent="0.2">
      <c r="B135" s="253"/>
      <c r="C135" s="251"/>
      <c r="D135" s="184">
        <v>1</v>
      </c>
      <c r="E135" s="14">
        <v>0.39</v>
      </c>
      <c r="F135" s="14">
        <f t="shared" ref="F135" si="12">IF($D$2*D135&lt;=200,0.33,0.25)</f>
        <v>0.25</v>
      </c>
      <c r="G135" s="14">
        <f t="shared" ref="G135:G136" si="13">E135*F135</f>
        <v>9.7500000000000003E-2</v>
      </c>
      <c r="H135" s="15">
        <f t="shared" ref="H135:H136" si="14">IF(($D$2*D135)&gt;40,750,IF(AND(8&lt;=($D$2*D135),($D$2*D135)&lt;=40),850,1000))</f>
        <v>750</v>
      </c>
      <c r="I135" s="15">
        <f t="shared" ref="I135:I136" si="15">(E135*F135*H135)</f>
        <v>73.125</v>
      </c>
      <c r="J135" s="22">
        <f>D135*I135</f>
        <v>73.125</v>
      </c>
      <c r="K135" s="186"/>
      <c r="L135" s="233"/>
      <c r="M135" s="286">
        <f>IFERROR((180/($D$2*D135)),0)</f>
        <v>0.38793103448275862</v>
      </c>
    </row>
    <row r="136" spans="2:13" ht="16.5" thickBot="1" x14ac:dyDescent="0.25">
      <c r="B136" s="254"/>
      <c r="C136" s="16"/>
      <c r="D136" s="187">
        <v>1</v>
      </c>
      <c r="E136" s="17">
        <v>2</v>
      </c>
      <c r="F136" s="230">
        <f t="shared" ref="F136" si="16">IF($D$2*D135&lt;=200,0.017,0.0085)</f>
        <v>8.5000000000000006E-3</v>
      </c>
      <c r="G136" s="18">
        <f t="shared" si="13"/>
        <v>1.7000000000000001E-2</v>
      </c>
      <c r="H136" s="188">
        <f t="shared" si="14"/>
        <v>750</v>
      </c>
      <c r="I136" s="188">
        <f t="shared" si="15"/>
        <v>12.750000000000002</v>
      </c>
      <c r="J136" s="23">
        <f>D136*I136</f>
        <v>12.750000000000002</v>
      </c>
      <c r="K136" s="189">
        <f t="shared" ref="K136" si="17">G135*D135+G136*D136</f>
        <v>0.1145</v>
      </c>
      <c r="L136" s="234">
        <f t="shared" ref="L136" si="18">J135+J136</f>
        <v>85.875</v>
      </c>
      <c r="M136" s="287"/>
    </row>
    <row r="137" spans="2:13" hidden="1" outlineLevel="1" x14ac:dyDescent="0.2">
      <c r="B137" s="20"/>
      <c r="C137" s="20" t="s">
        <v>386</v>
      </c>
      <c r="D137" s="185">
        <v>1</v>
      </c>
      <c r="E137" s="20"/>
      <c r="F137" s="20"/>
      <c r="G137" s="20"/>
      <c r="H137" s="20"/>
      <c r="I137" s="20"/>
      <c r="J137" s="24"/>
      <c r="K137" s="30"/>
      <c r="L137" s="235"/>
      <c r="M137" s="26"/>
    </row>
    <row r="138" spans="2:13" hidden="1" outlineLevel="1" x14ac:dyDescent="0.2">
      <c r="B138" s="19"/>
      <c r="C138" s="20" t="s">
        <v>387</v>
      </c>
      <c r="D138" s="185">
        <v>1</v>
      </c>
      <c r="E138" s="19"/>
      <c r="F138" s="19"/>
      <c r="G138" s="19"/>
      <c r="H138" s="19"/>
      <c r="I138" s="19"/>
      <c r="J138" s="25"/>
      <c r="K138" s="26"/>
      <c r="L138" s="104"/>
      <c r="M138" s="26"/>
    </row>
    <row r="139" spans="2:13" hidden="1" outlineLevel="1" x14ac:dyDescent="0.2">
      <c r="B139" s="19"/>
      <c r="C139" s="20"/>
      <c r="D139" s="185"/>
      <c r="E139" s="19"/>
      <c r="F139" s="19"/>
      <c r="G139" s="19"/>
      <c r="H139" s="19"/>
      <c r="I139" s="19"/>
      <c r="J139" s="25"/>
      <c r="K139" s="26"/>
      <c r="L139" s="104"/>
      <c r="M139" s="26"/>
    </row>
    <row r="140" spans="2:13" hidden="1" outlineLevel="1" x14ac:dyDescent="0.2">
      <c r="B140" s="19"/>
      <c r="C140" s="20"/>
      <c r="D140" s="185"/>
      <c r="E140" s="19"/>
      <c r="F140" s="19"/>
      <c r="G140" s="19"/>
      <c r="H140" s="19"/>
      <c r="I140" s="19"/>
      <c r="J140" s="25"/>
      <c r="K140" s="26"/>
      <c r="L140" s="104"/>
      <c r="M140" s="26"/>
    </row>
    <row r="141" spans="2:13" hidden="1" outlineLevel="1" x14ac:dyDescent="0.2">
      <c r="B141" s="19"/>
      <c r="C141" s="20"/>
      <c r="D141" s="185"/>
      <c r="E141" s="19"/>
      <c r="F141" s="19"/>
      <c r="G141" s="19"/>
      <c r="H141" s="19"/>
      <c r="I141" s="19"/>
      <c r="J141" s="25"/>
      <c r="K141" s="26"/>
      <c r="L141" s="104"/>
      <c r="M141" s="26"/>
    </row>
    <row r="142" spans="2:13" ht="15.75" hidden="1" outlineLevel="1" thickBot="1" x14ac:dyDescent="0.25">
      <c r="B142" s="27"/>
      <c r="C142" s="20"/>
      <c r="D142" s="185"/>
      <c r="E142" s="27"/>
      <c r="F142" s="27"/>
      <c r="G142" s="27"/>
      <c r="H142" s="27"/>
      <c r="I142" s="27"/>
      <c r="J142" s="28"/>
      <c r="K142" s="29"/>
      <c r="L142" s="236"/>
      <c r="M142" s="26"/>
    </row>
    <row r="143" spans="2:13" ht="63.75" collapsed="1" x14ac:dyDescent="0.2">
      <c r="B143" s="252">
        <v>4</v>
      </c>
      <c r="C143" s="250"/>
      <c r="D143" s="11" t="s">
        <v>9</v>
      </c>
      <c r="E143" s="12" t="s">
        <v>5</v>
      </c>
      <c r="F143" s="11" t="s">
        <v>6</v>
      </c>
      <c r="G143" s="11" t="s">
        <v>7</v>
      </c>
      <c r="H143" s="11" t="s">
        <v>8</v>
      </c>
      <c r="I143" s="12" t="s">
        <v>19</v>
      </c>
      <c r="J143" s="21" t="s">
        <v>20</v>
      </c>
      <c r="K143" s="32" t="s">
        <v>179</v>
      </c>
      <c r="L143" s="237" t="s">
        <v>180</v>
      </c>
      <c r="M143" s="33" t="s">
        <v>276</v>
      </c>
    </row>
    <row r="144" spans="2:13" ht="15.75" x14ac:dyDescent="0.2">
      <c r="B144" s="253"/>
      <c r="C144" s="251"/>
      <c r="D144" s="184">
        <v>1</v>
      </c>
      <c r="E144" s="14">
        <v>3.97838</v>
      </c>
      <c r="F144" s="14">
        <f t="shared" ref="F144" si="19">IF($D$2*D144&lt;=200,0.33,0.25)</f>
        <v>0.25</v>
      </c>
      <c r="G144" s="14">
        <f t="shared" ref="G144:G145" si="20">E144*F144</f>
        <v>0.99459500000000001</v>
      </c>
      <c r="H144" s="15">
        <f t="shared" ref="H144:H145" si="21">IF(($D$2*D144)&gt;40,750,IF(AND(8&lt;=($D$2*D144),($D$2*D144)&lt;=40),850,1000))</f>
        <v>750</v>
      </c>
      <c r="I144" s="15">
        <f t="shared" ref="I144:I145" si="22">(E144*F144*H144)</f>
        <v>745.94624999999996</v>
      </c>
      <c r="J144" s="22">
        <f>D144*I144</f>
        <v>745.94624999999996</v>
      </c>
      <c r="K144" s="186"/>
      <c r="L144" s="233"/>
      <c r="M144" s="286">
        <f>IFERROR((180/($D$2*D144)),0)</f>
        <v>0.38793103448275862</v>
      </c>
    </row>
    <row r="145" spans="2:13" ht="16.5" thickBot="1" x14ac:dyDescent="0.25">
      <c r="B145" s="254"/>
      <c r="C145" s="16"/>
      <c r="D145" s="187">
        <v>1</v>
      </c>
      <c r="E145" s="17">
        <v>31</v>
      </c>
      <c r="F145" s="230">
        <f t="shared" ref="F145" si="23">IF($D$2*D144&lt;=200,0.017,0.0085)</f>
        <v>8.5000000000000006E-3</v>
      </c>
      <c r="G145" s="18">
        <f t="shared" si="20"/>
        <v>0.26350000000000001</v>
      </c>
      <c r="H145" s="188">
        <f t="shared" si="21"/>
        <v>750</v>
      </c>
      <c r="I145" s="188">
        <f t="shared" si="22"/>
        <v>197.625</v>
      </c>
      <c r="J145" s="23">
        <f>D145*I145</f>
        <v>197.625</v>
      </c>
      <c r="K145" s="189">
        <f t="shared" ref="K145" si="24">G144*D144+G145*D145</f>
        <v>1.258095</v>
      </c>
      <c r="L145" s="234">
        <f t="shared" ref="L145" si="25">J144+J145</f>
        <v>943.57124999999996</v>
      </c>
      <c r="M145" s="287"/>
    </row>
    <row r="146" spans="2:13" hidden="1" outlineLevel="1" x14ac:dyDescent="0.2">
      <c r="B146" s="20"/>
      <c r="C146" s="20" t="s">
        <v>388</v>
      </c>
      <c r="D146" s="185">
        <v>4</v>
      </c>
      <c r="E146" s="20"/>
      <c r="F146" s="20"/>
      <c r="G146" s="20"/>
      <c r="H146" s="20"/>
      <c r="I146" s="20"/>
      <c r="J146" s="24"/>
      <c r="K146" s="30"/>
      <c r="L146" s="235"/>
      <c r="M146" s="26"/>
    </row>
    <row r="147" spans="2:13" outlineLevel="1" x14ac:dyDescent="0.2">
      <c r="B147" s="20"/>
      <c r="C147" s="20" t="s">
        <v>389</v>
      </c>
      <c r="D147" s="185">
        <v>3</v>
      </c>
      <c r="E147" s="20"/>
      <c r="F147" s="20"/>
      <c r="G147" s="20"/>
      <c r="H147" s="20"/>
      <c r="I147" s="20"/>
      <c r="J147" s="24"/>
      <c r="K147" s="30"/>
      <c r="L147" s="235"/>
      <c r="M147" s="26"/>
    </row>
    <row r="148" spans="2:13" outlineLevel="1" x14ac:dyDescent="0.2">
      <c r="B148" s="20"/>
      <c r="C148" s="20" t="s">
        <v>390</v>
      </c>
      <c r="D148" s="185">
        <v>2</v>
      </c>
      <c r="E148" s="20"/>
      <c r="F148" s="20"/>
      <c r="G148" s="20"/>
      <c r="H148" s="20"/>
      <c r="I148" s="20"/>
      <c r="J148" s="24"/>
      <c r="K148" s="30"/>
      <c r="L148" s="235"/>
      <c r="M148" s="26"/>
    </row>
    <row r="149" spans="2:13" outlineLevel="1" x14ac:dyDescent="0.2">
      <c r="B149" s="20"/>
      <c r="C149" s="20" t="s">
        <v>391</v>
      </c>
      <c r="D149" s="185">
        <v>4</v>
      </c>
      <c r="E149" s="20"/>
      <c r="F149" s="20"/>
      <c r="G149" s="20"/>
      <c r="H149" s="20"/>
      <c r="I149" s="20"/>
      <c r="J149" s="24"/>
      <c r="K149" s="30"/>
      <c r="L149" s="235"/>
      <c r="M149" s="26"/>
    </row>
    <row r="150" spans="2:13" ht="15.75" outlineLevel="1" thickBot="1" x14ac:dyDescent="0.25">
      <c r="B150" s="20"/>
      <c r="C150" s="20" t="s">
        <v>392</v>
      </c>
      <c r="D150" s="185">
        <v>2</v>
      </c>
      <c r="E150" s="20"/>
      <c r="F150" s="20"/>
      <c r="G150" s="20"/>
      <c r="H150" s="20"/>
      <c r="I150" s="20"/>
      <c r="J150" s="24"/>
      <c r="K150" s="30"/>
      <c r="L150" s="235"/>
      <c r="M150" s="26"/>
    </row>
    <row r="151" spans="2:13" hidden="1" outlineLevel="1" x14ac:dyDescent="0.2">
      <c r="B151" s="19"/>
      <c r="C151" s="20" t="s">
        <v>393</v>
      </c>
      <c r="D151" s="185">
        <v>4</v>
      </c>
      <c r="E151" s="19"/>
      <c r="F151" s="19"/>
      <c r="G151" s="19"/>
      <c r="H151" s="19"/>
      <c r="I151" s="19"/>
      <c r="J151" s="25"/>
      <c r="K151" s="26"/>
      <c r="L151" s="104"/>
      <c r="M151" s="26"/>
    </row>
    <row r="152" spans="2:13" hidden="1" outlineLevel="1" x14ac:dyDescent="0.2">
      <c r="B152" s="19"/>
      <c r="C152" s="20" t="s">
        <v>394</v>
      </c>
      <c r="D152" s="185">
        <v>4</v>
      </c>
      <c r="E152" s="19"/>
      <c r="F152" s="19"/>
      <c r="G152" s="19"/>
      <c r="H152" s="19"/>
      <c r="I152" s="19"/>
      <c r="J152" s="25"/>
      <c r="K152" s="26"/>
      <c r="L152" s="104"/>
      <c r="M152" s="26"/>
    </row>
    <row r="153" spans="2:13" hidden="1" outlineLevel="1" x14ac:dyDescent="0.2">
      <c r="B153" s="19"/>
      <c r="C153" s="20" t="s">
        <v>395</v>
      </c>
      <c r="D153" s="185">
        <v>3</v>
      </c>
      <c r="E153" s="19"/>
      <c r="F153" s="19"/>
      <c r="G153" s="19"/>
      <c r="H153" s="19"/>
      <c r="I153" s="19"/>
      <c r="J153" s="25"/>
      <c r="K153" s="26"/>
      <c r="L153" s="104"/>
      <c r="M153" s="26"/>
    </row>
    <row r="154" spans="2:13" hidden="1" outlineLevel="1" x14ac:dyDescent="0.2">
      <c r="B154" s="19"/>
      <c r="C154" s="20" t="s">
        <v>396</v>
      </c>
      <c r="D154" s="185">
        <v>4</v>
      </c>
      <c r="E154" s="19"/>
      <c r="F154" s="19"/>
      <c r="G154" s="19"/>
      <c r="H154" s="19"/>
      <c r="I154" s="19"/>
      <c r="J154" s="25"/>
      <c r="K154" s="26"/>
      <c r="L154" s="104"/>
      <c r="M154" s="26"/>
    </row>
    <row r="155" spans="2:13" ht="15.75" hidden="1" outlineLevel="1" thickBot="1" x14ac:dyDescent="0.25">
      <c r="B155" s="27"/>
      <c r="C155" s="20" t="s">
        <v>397</v>
      </c>
      <c r="D155" s="185">
        <v>1</v>
      </c>
      <c r="E155" s="27"/>
      <c r="F155" s="27"/>
      <c r="G155" s="27"/>
      <c r="H155" s="27"/>
      <c r="I155" s="27"/>
      <c r="J155" s="28"/>
      <c r="K155" s="29"/>
      <c r="L155" s="236"/>
      <c r="M155" s="26"/>
    </row>
    <row r="156" spans="2:13" ht="63.75" collapsed="1" x14ac:dyDescent="0.2">
      <c r="B156" s="252">
        <v>5</v>
      </c>
      <c r="C156" s="250"/>
      <c r="D156" s="11" t="s">
        <v>9</v>
      </c>
      <c r="E156" s="12" t="s">
        <v>5</v>
      </c>
      <c r="F156" s="11" t="s">
        <v>6</v>
      </c>
      <c r="G156" s="11" t="s">
        <v>7</v>
      </c>
      <c r="H156" s="11" t="s">
        <v>8</v>
      </c>
      <c r="I156" s="12" t="s">
        <v>19</v>
      </c>
      <c r="J156" s="21" t="s">
        <v>20</v>
      </c>
      <c r="K156" s="32" t="s">
        <v>179</v>
      </c>
      <c r="L156" s="237" t="s">
        <v>180</v>
      </c>
      <c r="M156" s="33" t="s">
        <v>276</v>
      </c>
    </row>
    <row r="157" spans="2:13" ht="15.75" x14ac:dyDescent="0.2">
      <c r="B157" s="253"/>
      <c r="C157" s="251"/>
      <c r="D157" s="184">
        <v>2</v>
      </c>
      <c r="E157" s="14">
        <v>0.30453999999999998</v>
      </c>
      <c r="F157" s="14">
        <f t="shared" ref="F157" si="26">IF($D$2*D157&lt;=200,0.33,0.25)</f>
        <v>0.25</v>
      </c>
      <c r="G157" s="14">
        <f t="shared" ref="G157:G158" si="27">E157*F157</f>
        <v>7.6134999999999994E-2</v>
      </c>
      <c r="H157" s="15">
        <f t="shared" ref="H157:H158" si="28">IF(($D$2*D157)&gt;40,750,IF(AND(8&lt;=($D$2*D157),($D$2*D157)&lt;=40),850,1000))</f>
        <v>750</v>
      </c>
      <c r="I157" s="15">
        <f t="shared" ref="I157:I158" si="29">(E157*F157*H157)</f>
        <v>57.101249999999993</v>
      </c>
      <c r="J157" s="22">
        <f>D157*I157</f>
        <v>114.20249999999999</v>
      </c>
      <c r="K157" s="186"/>
      <c r="L157" s="233"/>
      <c r="M157" s="286">
        <f>IFERROR((180/($D$2*D157)),0)</f>
        <v>0.19396551724137931</v>
      </c>
    </row>
    <row r="158" spans="2:13" ht="16.5" thickBot="1" x14ac:dyDescent="0.25">
      <c r="B158" s="254"/>
      <c r="C158" s="16"/>
      <c r="D158" s="187">
        <v>2</v>
      </c>
      <c r="E158" s="17">
        <v>2</v>
      </c>
      <c r="F158" s="230">
        <f t="shared" ref="F158" si="30">IF($D$2*D157&lt;=200,0.017,0.0085)</f>
        <v>8.5000000000000006E-3</v>
      </c>
      <c r="G158" s="18">
        <f t="shared" si="27"/>
        <v>1.7000000000000001E-2</v>
      </c>
      <c r="H158" s="188">
        <f t="shared" si="28"/>
        <v>750</v>
      </c>
      <c r="I158" s="188">
        <f t="shared" si="29"/>
        <v>12.750000000000002</v>
      </c>
      <c r="J158" s="23">
        <f>D158*I158</f>
        <v>25.500000000000004</v>
      </c>
      <c r="K158" s="189">
        <f t="shared" ref="K158" si="31">G157*D157+G158*D158</f>
        <v>0.18626999999999999</v>
      </c>
      <c r="L158" s="234">
        <f t="shared" ref="L158" si="32">J157+J158</f>
        <v>139.70249999999999</v>
      </c>
      <c r="M158" s="287"/>
    </row>
    <row r="159" spans="2:13" hidden="1" outlineLevel="1" x14ac:dyDescent="0.2">
      <c r="B159" s="20"/>
      <c r="C159" s="20" t="s">
        <v>398</v>
      </c>
      <c r="D159" s="185">
        <v>1</v>
      </c>
      <c r="E159" s="20"/>
      <c r="F159" s="20"/>
      <c r="G159" s="20"/>
      <c r="H159" s="20"/>
      <c r="I159" s="20"/>
      <c r="J159" s="24"/>
      <c r="K159" s="30"/>
      <c r="L159" s="235"/>
      <c r="M159" s="26"/>
    </row>
    <row r="160" spans="2:13" hidden="1" outlineLevel="1" x14ac:dyDescent="0.2">
      <c r="B160" s="19"/>
      <c r="C160" s="20" t="s">
        <v>399</v>
      </c>
      <c r="D160" s="185">
        <v>1</v>
      </c>
      <c r="E160" s="19"/>
      <c r="F160" s="19"/>
      <c r="G160" s="19"/>
      <c r="H160" s="19"/>
      <c r="I160" s="19"/>
      <c r="J160" s="25"/>
      <c r="K160" s="26"/>
      <c r="L160" s="104"/>
      <c r="M160" s="26"/>
    </row>
    <row r="161" spans="2:13" hidden="1" outlineLevel="1" x14ac:dyDescent="0.2">
      <c r="B161" s="19"/>
      <c r="C161" s="20"/>
      <c r="D161" s="185"/>
      <c r="E161" s="19"/>
      <c r="F161" s="19"/>
      <c r="G161" s="19"/>
      <c r="H161" s="19"/>
      <c r="I161" s="19"/>
      <c r="J161" s="25"/>
      <c r="K161" s="26"/>
      <c r="L161" s="104"/>
      <c r="M161" s="26"/>
    </row>
    <row r="162" spans="2:13" hidden="1" outlineLevel="1" x14ac:dyDescent="0.2">
      <c r="B162" s="19"/>
      <c r="C162" s="20"/>
      <c r="D162" s="185"/>
      <c r="E162" s="19"/>
      <c r="F162" s="19"/>
      <c r="G162" s="19"/>
      <c r="H162" s="19"/>
      <c r="I162" s="19"/>
      <c r="J162" s="25"/>
      <c r="K162" s="26"/>
      <c r="L162" s="104"/>
      <c r="M162" s="26"/>
    </row>
    <row r="163" spans="2:13" hidden="1" outlineLevel="1" x14ac:dyDescent="0.2">
      <c r="B163" s="19"/>
      <c r="C163" s="20"/>
      <c r="D163" s="185"/>
      <c r="E163" s="19"/>
      <c r="F163" s="19"/>
      <c r="G163" s="19"/>
      <c r="H163" s="19"/>
      <c r="I163" s="19"/>
      <c r="J163" s="25"/>
      <c r="K163" s="26"/>
      <c r="L163" s="104"/>
      <c r="M163" s="26"/>
    </row>
    <row r="164" spans="2:13" ht="15.75" hidden="1" outlineLevel="1" thickBot="1" x14ac:dyDescent="0.25">
      <c r="B164" s="27"/>
      <c r="C164" s="20"/>
      <c r="D164" s="185"/>
      <c r="E164" s="27"/>
      <c r="F164" s="27"/>
      <c r="G164" s="27"/>
      <c r="H164" s="27"/>
      <c r="I164" s="27"/>
      <c r="J164" s="28"/>
      <c r="K164" s="29"/>
      <c r="L164" s="236"/>
      <c r="M164" s="26"/>
    </row>
    <row r="165" spans="2:13" ht="63.75" collapsed="1" x14ac:dyDescent="0.2">
      <c r="B165" s="252">
        <v>6</v>
      </c>
      <c r="C165" s="250"/>
      <c r="D165" s="11" t="s">
        <v>9</v>
      </c>
      <c r="E165" s="12" t="s">
        <v>5</v>
      </c>
      <c r="F165" s="11" t="s">
        <v>6</v>
      </c>
      <c r="G165" s="11" t="s">
        <v>7</v>
      </c>
      <c r="H165" s="11" t="s">
        <v>8</v>
      </c>
      <c r="I165" s="12" t="s">
        <v>19</v>
      </c>
      <c r="J165" s="21" t="s">
        <v>20</v>
      </c>
      <c r="K165" s="32" t="s">
        <v>179</v>
      </c>
      <c r="L165" s="237" t="s">
        <v>180</v>
      </c>
      <c r="M165" s="33" t="s">
        <v>276</v>
      </c>
    </row>
    <row r="166" spans="2:13" ht="15.75" x14ac:dyDescent="0.2">
      <c r="B166" s="253"/>
      <c r="C166" s="251"/>
      <c r="D166" s="184">
        <v>4</v>
      </c>
      <c r="E166" s="14">
        <v>0.18970000000000001</v>
      </c>
      <c r="F166" s="14">
        <f t="shared" ref="F166" si="33">IF($D$2*D166&lt;=200,0.33,0.25)</f>
        <v>0.25</v>
      </c>
      <c r="G166" s="14">
        <f t="shared" ref="G166:G167" si="34">E166*F166</f>
        <v>4.7425000000000002E-2</v>
      </c>
      <c r="H166" s="15">
        <f t="shared" ref="H166:H167" si="35">IF(($D$2*D166)&gt;40,750,IF(AND(8&lt;=($D$2*D166),($D$2*D166)&lt;=40),850,1000))</f>
        <v>750</v>
      </c>
      <c r="I166" s="15">
        <f t="shared" ref="I166:I167" si="36">(E166*F166*H166)</f>
        <v>35.568750000000001</v>
      </c>
      <c r="J166" s="22">
        <f>D166*I166</f>
        <v>142.27500000000001</v>
      </c>
      <c r="K166" s="186"/>
      <c r="L166" s="233"/>
      <c r="M166" s="286">
        <f>IFERROR((180/($D$2*D166)),0)</f>
        <v>9.6982758620689655E-2</v>
      </c>
    </row>
    <row r="167" spans="2:13" ht="16.5" thickBot="1" x14ac:dyDescent="0.25">
      <c r="B167" s="254"/>
      <c r="C167" s="16"/>
      <c r="D167" s="187">
        <v>4</v>
      </c>
      <c r="E167" s="17">
        <v>2</v>
      </c>
      <c r="F167" s="230">
        <f t="shared" ref="F167" si="37">IF($D$2*D166&lt;=200,0.017,0.0085)</f>
        <v>8.5000000000000006E-3</v>
      </c>
      <c r="G167" s="18">
        <f t="shared" si="34"/>
        <v>1.7000000000000001E-2</v>
      </c>
      <c r="H167" s="188">
        <f t="shared" si="35"/>
        <v>750</v>
      </c>
      <c r="I167" s="188">
        <f t="shared" si="36"/>
        <v>12.750000000000002</v>
      </c>
      <c r="J167" s="23">
        <f>D167*I167</f>
        <v>51.000000000000007</v>
      </c>
      <c r="K167" s="189">
        <f t="shared" ref="K167" si="38">G166*D166+G167*D167</f>
        <v>0.25770000000000004</v>
      </c>
      <c r="L167" s="234">
        <f t="shared" ref="L167" si="39">J166+J167</f>
        <v>193.27500000000001</v>
      </c>
      <c r="M167" s="287"/>
    </row>
    <row r="168" spans="2:13" hidden="1" outlineLevel="1" x14ac:dyDescent="0.2">
      <c r="B168" s="20"/>
      <c r="C168" s="20" t="s">
        <v>400</v>
      </c>
      <c r="D168" s="185">
        <v>1</v>
      </c>
      <c r="E168" s="20"/>
      <c r="F168" s="20"/>
      <c r="G168" s="20"/>
      <c r="H168" s="20"/>
      <c r="I168" s="20"/>
      <c r="J168" s="24"/>
      <c r="K168" s="30"/>
      <c r="L168" s="235"/>
      <c r="M168" s="26"/>
    </row>
    <row r="169" spans="2:13" hidden="1" outlineLevel="1" x14ac:dyDescent="0.2">
      <c r="B169" s="19"/>
      <c r="C169" s="20" t="s">
        <v>401</v>
      </c>
      <c r="D169" s="185">
        <v>1</v>
      </c>
      <c r="E169" s="19"/>
      <c r="F169" s="19"/>
      <c r="G169" s="19"/>
      <c r="H169" s="19"/>
      <c r="I169" s="19"/>
      <c r="J169" s="25"/>
      <c r="K169" s="26"/>
      <c r="L169" s="104"/>
      <c r="M169" s="26"/>
    </row>
    <row r="170" spans="2:13" hidden="1" outlineLevel="1" x14ac:dyDescent="0.2">
      <c r="B170" s="19"/>
      <c r="C170" s="20"/>
      <c r="D170" s="185"/>
      <c r="E170" s="19"/>
      <c r="F170" s="19"/>
      <c r="G170" s="19"/>
      <c r="H170" s="19"/>
      <c r="I170" s="19"/>
      <c r="J170" s="25"/>
      <c r="K170" s="26"/>
      <c r="L170" s="104"/>
      <c r="M170" s="26"/>
    </row>
    <row r="171" spans="2:13" hidden="1" outlineLevel="1" x14ac:dyDescent="0.2">
      <c r="B171" s="19"/>
      <c r="C171" s="20"/>
      <c r="D171" s="185"/>
      <c r="E171" s="19"/>
      <c r="F171" s="19"/>
      <c r="G171" s="19"/>
      <c r="H171" s="19"/>
      <c r="I171" s="19"/>
      <c r="J171" s="25"/>
      <c r="K171" s="26"/>
      <c r="L171" s="104"/>
      <c r="M171" s="26"/>
    </row>
    <row r="172" spans="2:13" hidden="1" outlineLevel="1" x14ac:dyDescent="0.2">
      <c r="B172" s="19"/>
      <c r="C172" s="20"/>
      <c r="D172" s="185"/>
      <c r="E172" s="19"/>
      <c r="F172" s="19"/>
      <c r="G172" s="19"/>
      <c r="H172" s="19"/>
      <c r="I172" s="19"/>
      <c r="J172" s="25"/>
      <c r="K172" s="26"/>
      <c r="L172" s="104"/>
      <c r="M172" s="26"/>
    </row>
    <row r="173" spans="2:13" ht="15.75" hidden="1" outlineLevel="1" thickBot="1" x14ac:dyDescent="0.25">
      <c r="B173" s="27"/>
      <c r="C173" s="20"/>
      <c r="D173" s="185"/>
      <c r="E173" s="27"/>
      <c r="F173" s="27"/>
      <c r="G173" s="27"/>
      <c r="H173" s="27"/>
      <c r="I173" s="27"/>
      <c r="J173" s="28"/>
      <c r="K173" s="29"/>
      <c r="L173" s="236"/>
      <c r="M173" s="26"/>
    </row>
    <row r="174" spans="2:13" ht="63.75" collapsed="1" x14ac:dyDescent="0.2">
      <c r="B174" s="252">
        <v>7</v>
      </c>
      <c r="C174" s="250"/>
      <c r="D174" s="11" t="s">
        <v>9</v>
      </c>
      <c r="E174" s="12" t="s">
        <v>5</v>
      </c>
      <c r="F174" s="11" t="s">
        <v>6</v>
      </c>
      <c r="G174" s="11" t="s">
        <v>7</v>
      </c>
      <c r="H174" s="11" t="s">
        <v>8</v>
      </c>
      <c r="I174" s="12" t="s">
        <v>19</v>
      </c>
      <c r="J174" s="21" t="s">
        <v>20</v>
      </c>
      <c r="K174" s="32" t="s">
        <v>179</v>
      </c>
      <c r="L174" s="237" t="s">
        <v>180</v>
      </c>
      <c r="M174" s="33" t="s">
        <v>276</v>
      </c>
    </row>
    <row r="175" spans="2:13" ht="15.75" x14ac:dyDescent="0.2">
      <c r="B175" s="253"/>
      <c r="C175" s="251"/>
      <c r="D175" s="184">
        <v>1</v>
      </c>
      <c r="E175" s="14">
        <v>0.42199999999999999</v>
      </c>
      <c r="F175" s="14">
        <f t="shared" ref="F175" si="40">IF($D$2*D175&lt;=200,0.33,0.25)</f>
        <v>0.25</v>
      </c>
      <c r="G175" s="14">
        <f t="shared" ref="G175:G176" si="41">E175*F175</f>
        <v>0.1055</v>
      </c>
      <c r="H175" s="15">
        <f t="shared" ref="H175:H176" si="42">IF(($D$2*D175)&gt;40,750,IF(AND(8&lt;=($D$2*D175),($D$2*D175)&lt;=40),850,1000))</f>
        <v>750</v>
      </c>
      <c r="I175" s="15">
        <f t="shared" ref="I175:I176" si="43">(E175*F175*H175)</f>
        <v>79.125</v>
      </c>
      <c r="J175" s="22">
        <f>D175*I175</f>
        <v>79.125</v>
      </c>
      <c r="K175" s="186"/>
      <c r="L175" s="233"/>
      <c r="M175" s="286">
        <f>IFERROR((180/($D$2*D175)),0)</f>
        <v>0.38793103448275862</v>
      </c>
    </row>
    <row r="176" spans="2:13" ht="16.5" thickBot="1" x14ac:dyDescent="0.25">
      <c r="B176" s="254"/>
      <c r="C176" s="16"/>
      <c r="D176" s="187">
        <v>1</v>
      </c>
      <c r="E176" s="17">
        <v>6</v>
      </c>
      <c r="F176" s="230">
        <f t="shared" ref="F176" si="44">IF($D$2*D175&lt;=200,0.017,0.0085)</f>
        <v>8.5000000000000006E-3</v>
      </c>
      <c r="G176" s="18">
        <f t="shared" si="41"/>
        <v>5.1000000000000004E-2</v>
      </c>
      <c r="H176" s="188">
        <f t="shared" si="42"/>
        <v>750</v>
      </c>
      <c r="I176" s="188">
        <f t="shared" si="43"/>
        <v>38.25</v>
      </c>
      <c r="J176" s="23">
        <f>D176*I176</f>
        <v>38.25</v>
      </c>
      <c r="K176" s="189">
        <f t="shared" ref="K176" si="45">G175*D175+G176*D176</f>
        <v>0.1565</v>
      </c>
      <c r="L176" s="234">
        <f t="shared" ref="L176" si="46">J175+J176</f>
        <v>117.375</v>
      </c>
      <c r="M176" s="287"/>
    </row>
    <row r="177" spans="2:13" hidden="1" outlineLevel="1" x14ac:dyDescent="0.2">
      <c r="B177" s="20"/>
      <c r="C177" s="20" t="s">
        <v>402</v>
      </c>
      <c r="D177" s="185">
        <v>1</v>
      </c>
      <c r="E177" s="20"/>
      <c r="F177" s="20"/>
      <c r="G177" s="20"/>
      <c r="H177" s="20"/>
      <c r="I177" s="20"/>
      <c r="J177" s="24"/>
      <c r="K177" s="30"/>
      <c r="L177" s="235"/>
      <c r="M177" s="26"/>
    </row>
    <row r="178" spans="2:13" hidden="1" outlineLevel="1" x14ac:dyDescent="0.2">
      <c r="B178" s="19"/>
      <c r="C178" s="20" t="s">
        <v>403</v>
      </c>
      <c r="D178" s="185">
        <v>4</v>
      </c>
      <c r="E178" s="19"/>
      <c r="F178" s="19"/>
      <c r="G178" s="19"/>
      <c r="H178" s="19"/>
      <c r="I178" s="19"/>
      <c r="J178" s="25"/>
      <c r="K178" s="26"/>
      <c r="L178" s="104"/>
      <c r="M178" s="26"/>
    </row>
    <row r="179" spans="2:13" hidden="1" outlineLevel="1" x14ac:dyDescent="0.2">
      <c r="B179" s="19"/>
      <c r="C179" s="20" t="s">
        <v>404</v>
      </c>
      <c r="D179" s="185">
        <v>1</v>
      </c>
      <c r="E179" s="19"/>
      <c r="F179" s="19"/>
      <c r="G179" s="19"/>
      <c r="H179" s="19"/>
      <c r="I179" s="19"/>
      <c r="J179" s="25"/>
      <c r="K179" s="26"/>
      <c r="L179" s="104"/>
      <c r="M179" s="26"/>
    </row>
    <row r="180" spans="2:13" hidden="1" outlineLevel="1" x14ac:dyDescent="0.2">
      <c r="B180" s="19"/>
      <c r="C180" s="20"/>
      <c r="D180" s="185"/>
      <c r="E180" s="19"/>
      <c r="F180" s="19"/>
      <c r="G180" s="19"/>
      <c r="H180" s="19"/>
      <c r="I180" s="19"/>
      <c r="J180" s="25"/>
      <c r="K180" s="26"/>
      <c r="L180" s="104"/>
      <c r="M180" s="26"/>
    </row>
    <row r="181" spans="2:13" hidden="1" outlineLevel="1" x14ac:dyDescent="0.2">
      <c r="B181" s="19"/>
      <c r="C181" s="20"/>
      <c r="D181" s="185"/>
      <c r="E181" s="19"/>
      <c r="F181" s="19"/>
      <c r="G181" s="19"/>
      <c r="H181" s="19"/>
      <c r="I181" s="19"/>
      <c r="J181" s="25"/>
      <c r="K181" s="26"/>
      <c r="L181" s="104"/>
      <c r="M181" s="26"/>
    </row>
    <row r="182" spans="2:13" ht="15.75" hidden="1" outlineLevel="1" thickBot="1" x14ac:dyDescent="0.25">
      <c r="B182" s="27"/>
      <c r="C182" s="20"/>
      <c r="D182" s="185"/>
      <c r="E182" s="27"/>
      <c r="F182" s="27"/>
      <c r="G182" s="27"/>
      <c r="H182" s="27"/>
      <c r="I182" s="27"/>
      <c r="J182" s="28"/>
      <c r="K182" s="29"/>
      <c r="L182" s="236"/>
      <c r="M182" s="26"/>
    </row>
    <row r="183" spans="2:13" ht="63.75" collapsed="1" x14ac:dyDescent="0.2">
      <c r="B183" s="252">
        <v>8</v>
      </c>
      <c r="C183" s="250"/>
      <c r="D183" s="11" t="s">
        <v>9</v>
      </c>
      <c r="E183" s="12" t="s">
        <v>5</v>
      </c>
      <c r="F183" s="11" t="s">
        <v>6</v>
      </c>
      <c r="G183" s="11" t="s">
        <v>7</v>
      </c>
      <c r="H183" s="11" t="s">
        <v>8</v>
      </c>
      <c r="I183" s="12" t="s">
        <v>19</v>
      </c>
      <c r="J183" s="21" t="s">
        <v>20</v>
      </c>
      <c r="K183" s="32" t="s">
        <v>179</v>
      </c>
      <c r="L183" s="237" t="s">
        <v>180</v>
      </c>
      <c r="M183" s="33" t="s">
        <v>276</v>
      </c>
    </row>
    <row r="184" spans="2:13" ht="15.75" x14ac:dyDescent="0.2">
      <c r="B184" s="253"/>
      <c r="C184" s="251"/>
      <c r="D184" s="184">
        <v>1</v>
      </c>
      <c r="E184" s="14">
        <v>0.21564</v>
      </c>
      <c r="F184" s="14">
        <f t="shared" ref="F184" si="47">IF($D$2*D184&lt;=200,0.33,0.25)</f>
        <v>0.25</v>
      </c>
      <c r="G184" s="14">
        <f t="shared" ref="G184:G185" si="48">E184*F184</f>
        <v>5.391E-2</v>
      </c>
      <c r="H184" s="15">
        <f t="shared" ref="H184:H185" si="49">IF(($D$2*D184)&gt;40,750,IF(AND(8&lt;=($D$2*D184),($D$2*D184)&lt;=40),850,1000))</f>
        <v>750</v>
      </c>
      <c r="I184" s="15">
        <f t="shared" ref="I184:I185" si="50">(E184*F184*H184)</f>
        <v>40.432499999999997</v>
      </c>
      <c r="J184" s="22">
        <f>D184*I184</f>
        <v>40.432499999999997</v>
      </c>
      <c r="K184" s="186"/>
      <c r="L184" s="233"/>
      <c r="M184" s="286">
        <f>IFERROR((180/($D$2*D184)),0)</f>
        <v>0.38793103448275862</v>
      </c>
    </row>
    <row r="185" spans="2:13" ht="16.5" thickBot="1" x14ac:dyDescent="0.25">
      <c r="B185" s="254"/>
      <c r="C185" s="16"/>
      <c r="D185" s="187">
        <v>1</v>
      </c>
      <c r="E185" s="17">
        <v>4</v>
      </c>
      <c r="F185" s="230">
        <f t="shared" ref="F185" si="51">IF($D$2*D184&lt;=200,0.017,0.0085)</f>
        <v>8.5000000000000006E-3</v>
      </c>
      <c r="G185" s="18">
        <f t="shared" si="48"/>
        <v>3.4000000000000002E-2</v>
      </c>
      <c r="H185" s="188">
        <f t="shared" si="49"/>
        <v>750</v>
      </c>
      <c r="I185" s="188">
        <f t="shared" si="50"/>
        <v>25.500000000000004</v>
      </c>
      <c r="J185" s="23">
        <f>D185*I185</f>
        <v>25.500000000000004</v>
      </c>
      <c r="K185" s="189">
        <f t="shared" ref="K185" si="52">G184*D184+G185*D185</f>
        <v>8.7910000000000002E-2</v>
      </c>
      <c r="L185" s="234">
        <f t="shared" ref="L185" si="53">J184+J185</f>
        <v>65.932500000000005</v>
      </c>
      <c r="M185" s="287"/>
    </row>
    <row r="186" spans="2:13" hidden="1" outlineLevel="1" x14ac:dyDescent="0.2">
      <c r="B186" s="20"/>
      <c r="C186" s="20" t="s">
        <v>405</v>
      </c>
      <c r="D186" s="185">
        <v>2</v>
      </c>
      <c r="E186" s="20"/>
      <c r="F186" s="20"/>
      <c r="G186" s="20"/>
      <c r="H186" s="20"/>
      <c r="I186" s="20"/>
      <c r="J186" s="24"/>
      <c r="K186" s="30"/>
      <c r="L186" s="235"/>
      <c r="M186" s="26"/>
    </row>
    <row r="187" spans="2:13" hidden="1" outlineLevel="1" x14ac:dyDescent="0.2">
      <c r="B187" s="19"/>
      <c r="C187" s="20" t="s">
        <v>406</v>
      </c>
      <c r="D187" s="185">
        <v>2</v>
      </c>
      <c r="E187" s="19"/>
      <c r="F187" s="19"/>
      <c r="G187" s="19"/>
      <c r="H187" s="19"/>
      <c r="I187" s="19"/>
      <c r="J187" s="25"/>
      <c r="K187" s="26"/>
      <c r="L187" s="104"/>
      <c r="M187" s="26"/>
    </row>
    <row r="188" spans="2:13" hidden="1" outlineLevel="1" x14ac:dyDescent="0.2">
      <c r="B188" s="19"/>
      <c r="C188" s="20"/>
      <c r="D188" s="185"/>
      <c r="E188" s="19"/>
      <c r="F188" s="19"/>
      <c r="G188" s="19"/>
      <c r="H188" s="19"/>
      <c r="I188" s="19"/>
      <c r="J188" s="25"/>
      <c r="K188" s="26"/>
      <c r="L188" s="104"/>
      <c r="M188" s="26"/>
    </row>
    <row r="189" spans="2:13" hidden="1" outlineLevel="1" x14ac:dyDescent="0.2">
      <c r="B189" s="19"/>
      <c r="C189" s="20"/>
      <c r="D189" s="185"/>
      <c r="E189" s="19"/>
      <c r="F189" s="19"/>
      <c r="G189" s="19"/>
      <c r="H189" s="19"/>
      <c r="I189" s="19"/>
      <c r="J189" s="25"/>
      <c r="K189" s="26"/>
      <c r="L189" s="104"/>
      <c r="M189" s="26"/>
    </row>
    <row r="190" spans="2:13" hidden="1" outlineLevel="1" x14ac:dyDescent="0.2">
      <c r="B190" s="19"/>
      <c r="C190" s="20"/>
      <c r="D190" s="185"/>
      <c r="E190" s="19"/>
      <c r="F190" s="19"/>
      <c r="G190" s="19"/>
      <c r="H190" s="19"/>
      <c r="I190" s="19"/>
      <c r="J190" s="25"/>
      <c r="K190" s="26"/>
      <c r="L190" s="104"/>
      <c r="M190" s="26"/>
    </row>
    <row r="191" spans="2:13" ht="15.75" hidden="1" outlineLevel="1" thickBot="1" x14ac:dyDescent="0.25">
      <c r="B191" s="27"/>
      <c r="C191" s="20"/>
      <c r="D191" s="185"/>
      <c r="E191" s="27"/>
      <c r="F191" s="27"/>
      <c r="G191" s="27"/>
      <c r="H191" s="27"/>
      <c r="I191" s="27"/>
      <c r="J191" s="28"/>
      <c r="K191" s="29"/>
      <c r="L191" s="236"/>
      <c r="M191" s="26"/>
    </row>
    <row r="192" spans="2:13" ht="84" customHeight="1" collapsed="1" x14ac:dyDescent="0.2">
      <c r="B192" s="252">
        <v>9</v>
      </c>
      <c r="C192" s="250"/>
      <c r="D192" s="11" t="s">
        <v>9</v>
      </c>
      <c r="E192" s="12" t="s">
        <v>5</v>
      </c>
      <c r="F192" s="11" t="s">
        <v>6</v>
      </c>
      <c r="G192" s="11" t="s">
        <v>7</v>
      </c>
      <c r="H192" s="11" t="s">
        <v>8</v>
      </c>
      <c r="I192" s="12" t="s">
        <v>19</v>
      </c>
      <c r="J192" s="21" t="s">
        <v>20</v>
      </c>
      <c r="K192" s="32" t="s">
        <v>179</v>
      </c>
      <c r="L192" s="237" t="s">
        <v>180</v>
      </c>
      <c r="M192" s="33" t="s">
        <v>276</v>
      </c>
    </row>
    <row r="193" spans="2:13" ht="15.75" x14ac:dyDescent="0.2">
      <c r="B193" s="253"/>
      <c r="C193" s="251"/>
      <c r="D193" s="184">
        <v>1</v>
      </c>
      <c r="E193" s="14">
        <v>0.78156999999999999</v>
      </c>
      <c r="F193" s="14">
        <f t="shared" ref="F193" si="54">IF($D$2*D193&lt;=200,0.33,0.25)</f>
        <v>0.25</v>
      </c>
      <c r="G193" s="14">
        <f t="shared" ref="G193:G194" si="55">E193*F193</f>
        <v>0.1953925</v>
      </c>
      <c r="H193" s="15">
        <f t="shared" ref="H193:H194" si="56">IF(($D$2*D193)&gt;40,750,IF(AND(8&lt;=($D$2*D193),($D$2*D193)&lt;=40),850,1000))</f>
        <v>750</v>
      </c>
      <c r="I193" s="15">
        <f t="shared" ref="I193:I194" si="57">(E193*F193*H193)</f>
        <v>146.544375</v>
      </c>
      <c r="J193" s="22">
        <f>D193*I193</f>
        <v>146.544375</v>
      </c>
      <c r="K193" s="186"/>
      <c r="L193" s="233"/>
      <c r="M193" s="286">
        <f>IFERROR((180/($D$2*D193)),0)</f>
        <v>0.38793103448275862</v>
      </c>
    </row>
    <row r="194" spans="2:13" ht="16.5" thickBot="1" x14ac:dyDescent="0.25">
      <c r="B194" s="254"/>
      <c r="C194" s="16"/>
      <c r="D194" s="187">
        <v>1</v>
      </c>
      <c r="E194" s="17">
        <v>10</v>
      </c>
      <c r="F194" s="230">
        <f t="shared" ref="F194" si="58">IF($D$2*D193&lt;=200,0.017,0.0085)</f>
        <v>8.5000000000000006E-3</v>
      </c>
      <c r="G194" s="18">
        <f t="shared" si="55"/>
        <v>8.5000000000000006E-2</v>
      </c>
      <c r="H194" s="188">
        <f t="shared" si="56"/>
        <v>750</v>
      </c>
      <c r="I194" s="188">
        <f t="shared" si="57"/>
        <v>63.750000000000007</v>
      </c>
      <c r="J194" s="23">
        <f>D194*I194</f>
        <v>63.750000000000007</v>
      </c>
      <c r="K194" s="189">
        <f t="shared" ref="K194" si="59">G193*D193+G194*D194</f>
        <v>0.28039249999999999</v>
      </c>
      <c r="L194" s="234">
        <f t="shared" ref="L194" si="60">J193+J194</f>
        <v>210.294375</v>
      </c>
      <c r="M194" s="287"/>
    </row>
    <row r="195" spans="2:13" hidden="1" outlineLevel="1" x14ac:dyDescent="0.2">
      <c r="B195" s="20"/>
      <c r="C195" s="20" t="s">
        <v>403</v>
      </c>
      <c r="D195" s="185">
        <v>7</v>
      </c>
      <c r="E195" s="20"/>
      <c r="F195" s="20"/>
      <c r="G195" s="20"/>
      <c r="H195" s="20"/>
      <c r="I195" s="20"/>
      <c r="J195" s="24"/>
      <c r="K195" s="30"/>
      <c r="L195" s="235"/>
      <c r="M195" s="26"/>
    </row>
    <row r="196" spans="2:13" hidden="1" outlineLevel="1" x14ac:dyDescent="0.2">
      <c r="B196" s="19"/>
      <c r="C196" s="20" t="s">
        <v>407</v>
      </c>
      <c r="D196" s="185">
        <v>2</v>
      </c>
      <c r="E196" s="19"/>
      <c r="F196" s="19"/>
      <c r="G196" s="19"/>
      <c r="H196" s="19"/>
      <c r="I196" s="19"/>
      <c r="J196" s="25"/>
      <c r="K196" s="26"/>
      <c r="L196" s="104"/>
      <c r="M196" s="26"/>
    </row>
    <row r="197" spans="2:13" hidden="1" outlineLevel="1" x14ac:dyDescent="0.2">
      <c r="B197" s="19"/>
      <c r="C197" s="20" t="s">
        <v>408</v>
      </c>
      <c r="D197" s="185">
        <v>1</v>
      </c>
      <c r="E197" s="19"/>
      <c r="F197" s="19"/>
      <c r="G197" s="19"/>
      <c r="H197" s="19"/>
      <c r="I197" s="19"/>
      <c r="J197" s="25"/>
      <c r="K197" s="26"/>
      <c r="L197" s="104"/>
      <c r="M197" s="26"/>
    </row>
    <row r="198" spans="2:13" hidden="1" outlineLevel="1" x14ac:dyDescent="0.2">
      <c r="B198" s="19"/>
      <c r="C198" s="20"/>
      <c r="D198" s="185"/>
      <c r="E198" s="19"/>
      <c r="F198" s="19"/>
      <c r="G198" s="19"/>
      <c r="H198" s="19"/>
      <c r="I198" s="19"/>
      <c r="J198" s="25"/>
      <c r="K198" s="26"/>
      <c r="L198" s="104"/>
      <c r="M198" s="26"/>
    </row>
    <row r="199" spans="2:13" hidden="1" outlineLevel="1" x14ac:dyDescent="0.2">
      <c r="B199" s="19"/>
      <c r="C199" s="20"/>
      <c r="D199" s="185"/>
      <c r="E199" s="19"/>
      <c r="F199" s="19"/>
      <c r="G199" s="19"/>
      <c r="H199" s="19"/>
      <c r="I199" s="19"/>
      <c r="J199" s="25"/>
      <c r="K199" s="26"/>
      <c r="L199" s="104"/>
      <c r="M199" s="26"/>
    </row>
    <row r="200" spans="2:13" ht="15.75" hidden="1" outlineLevel="1" thickBot="1" x14ac:dyDescent="0.25">
      <c r="B200" s="27"/>
      <c r="C200" s="20"/>
      <c r="D200" s="185"/>
      <c r="E200" s="27"/>
      <c r="F200" s="27"/>
      <c r="G200" s="27"/>
      <c r="H200" s="27"/>
      <c r="I200" s="27"/>
      <c r="J200" s="28"/>
      <c r="K200" s="29"/>
      <c r="L200" s="236"/>
      <c r="M200" s="26"/>
    </row>
    <row r="201" spans="2:13" ht="78.75" customHeight="1" collapsed="1" x14ac:dyDescent="0.2">
      <c r="B201" s="252">
        <v>10</v>
      </c>
      <c r="C201" s="250"/>
      <c r="D201" s="11" t="s">
        <v>9</v>
      </c>
      <c r="E201" s="12" t="s">
        <v>5</v>
      </c>
      <c r="F201" s="11" t="s">
        <v>6</v>
      </c>
      <c r="G201" s="11" t="s">
        <v>7</v>
      </c>
      <c r="H201" s="11" t="s">
        <v>8</v>
      </c>
      <c r="I201" s="12" t="s">
        <v>19</v>
      </c>
      <c r="J201" s="21" t="s">
        <v>20</v>
      </c>
      <c r="K201" s="32" t="s">
        <v>179</v>
      </c>
      <c r="L201" s="237" t="s">
        <v>180</v>
      </c>
      <c r="M201" s="33" t="s">
        <v>276</v>
      </c>
    </row>
    <row r="202" spans="2:13" ht="15.75" x14ac:dyDescent="0.2">
      <c r="B202" s="253"/>
      <c r="C202" s="251"/>
      <c r="D202" s="184">
        <v>1</v>
      </c>
      <c r="E202" s="14">
        <v>0.65910000000000002</v>
      </c>
      <c r="F202" s="14">
        <f t="shared" ref="F202" si="61">IF($D$2*D202&lt;=200,0.33,0.25)</f>
        <v>0.25</v>
      </c>
      <c r="G202" s="14">
        <f t="shared" ref="G202:G203" si="62">E202*F202</f>
        <v>0.164775</v>
      </c>
      <c r="H202" s="15">
        <f t="shared" ref="H202:H203" si="63">IF(($D$2*D202)&gt;40,750,IF(AND(8&lt;=($D$2*D202),($D$2*D202)&lt;=40),850,1000))</f>
        <v>750</v>
      </c>
      <c r="I202" s="15">
        <f t="shared" ref="I202:I203" si="64">(E202*F202*H202)</f>
        <v>123.58125</v>
      </c>
      <c r="J202" s="22">
        <f>D202*I202</f>
        <v>123.58125</v>
      </c>
      <c r="K202" s="186"/>
      <c r="L202" s="233"/>
      <c r="M202" s="286">
        <f>IFERROR((180/($D$2*D202)),0)</f>
        <v>0.38793103448275862</v>
      </c>
    </row>
    <row r="203" spans="2:13" ht="16.5" thickBot="1" x14ac:dyDescent="0.25">
      <c r="B203" s="254"/>
      <c r="C203" s="16"/>
      <c r="D203" s="187">
        <v>1</v>
      </c>
      <c r="E203" s="17">
        <v>5</v>
      </c>
      <c r="F203" s="230">
        <f t="shared" ref="F203" si="65">IF($D$2*D202&lt;=200,0.017,0.0085)</f>
        <v>8.5000000000000006E-3</v>
      </c>
      <c r="G203" s="18">
        <f t="shared" si="62"/>
        <v>4.2500000000000003E-2</v>
      </c>
      <c r="H203" s="188">
        <f t="shared" si="63"/>
        <v>750</v>
      </c>
      <c r="I203" s="188">
        <f t="shared" si="64"/>
        <v>31.875000000000004</v>
      </c>
      <c r="J203" s="23">
        <f>D203*I203</f>
        <v>31.875000000000004</v>
      </c>
      <c r="K203" s="189">
        <f t="shared" ref="K203" si="66">G202*D202+G203*D203</f>
        <v>0.20727500000000001</v>
      </c>
      <c r="L203" s="234">
        <f t="shared" ref="L203" si="67">J202+J203</f>
        <v>155.45625000000001</v>
      </c>
      <c r="M203" s="287"/>
    </row>
    <row r="204" spans="2:13" hidden="1" outlineLevel="1" x14ac:dyDescent="0.2">
      <c r="B204" s="20"/>
      <c r="C204" s="20" t="s">
        <v>409</v>
      </c>
      <c r="D204" s="185">
        <v>2</v>
      </c>
      <c r="E204" s="20"/>
      <c r="F204" s="20"/>
      <c r="G204" s="20"/>
      <c r="H204" s="20"/>
      <c r="I204" s="20"/>
      <c r="J204" s="24"/>
      <c r="K204" s="30"/>
      <c r="L204" s="235"/>
      <c r="M204" s="26"/>
    </row>
    <row r="205" spans="2:13" hidden="1" outlineLevel="1" x14ac:dyDescent="0.2">
      <c r="B205" s="19"/>
      <c r="C205" s="20" t="s">
        <v>406</v>
      </c>
      <c r="D205" s="185">
        <v>3</v>
      </c>
      <c r="E205" s="19"/>
      <c r="F205" s="19"/>
      <c r="G205" s="19"/>
      <c r="H205" s="19"/>
      <c r="I205" s="19"/>
      <c r="J205" s="25"/>
      <c r="K205" s="26"/>
      <c r="L205" s="104"/>
      <c r="M205" s="26"/>
    </row>
    <row r="206" spans="2:13" hidden="1" outlineLevel="1" x14ac:dyDescent="0.2">
      <c r="B206" s="19"/>
      <c r="C206" s="20"/>
      <c r="D206" s="185"/>
      <c r="E206" s="19"/>
      <c r="F206" s="19"/>
      <c r="G206" s="19"/>
      <c r="H206" s="19"/>
      <c r="I206" s="19"/>
      <c r="J206" s="25"/>
      <c r="K206" s="26"/>
      <c r="L206" s="104"/>
      <c r="M206" s="26"/>
    </row>
    <row r="207" spans="2:13" hidden="1" outlineLevel="1" x14ac:dyDescent="0.2">
      <c r="B207" s="19"/>
      <c r="C207" s="20"/>
      <c r="D207" s="185"/>
      <c r="E207" s="19"/>
      <c r="F207" s="19"/>
      <c r="G207" s="19"/>
      <c r="H207" s="19"/>
      <c r="I207" s="19"/>
      <c r="J207" s="25"/>
      <c r="K207" s="26"/>
      <c r="L207" s="104"/>
      <c r="M207" s="26"/>
    </row>
    <row r="208" spans="2:13" hidden="1" outlineLevel="1" x14ac:dyDescent="0.2">
      <c r="B208" s="19"/>
      <c r="C208" s="20"/>
      <c r="D208" s="185"/>
      <c r="E208" s="19"/>
      <c r="F208" s="19"/>
      <c r="G208" s="19"/>
      <c r="H208" s="19"/>
      <c r="I208" s="19"/>
      <c r="J208" s="25"/>
      <c r="K208" s="26"/>
      <c r="L208" s="104"/>
      <c r="M208" s="26"/>
    </row>
    <row r="209" spans="2:13" ht="15.75" hidden="1" outlineLevel="1" thickBot="1" x14ac:dyDescent="0.25">
      <c r="B209" s="27"/>
      <c r="C209" s="20"/>
      <c r="D209" s="185"/>
      <c r="E209" s="27"/>
      <c r="F209" s="27"/>
      <c r="G209" s="27"/>
      <c r="H209" s="27"/>
      <c r="I209" s="27"/>
      <c r="J209" s="28"/>
      <c r="K209" s="29"/>
      <c r="L209" s="236"/>
      <c r="M209" s="26"/>
    </row>
    <row r="210" spans="2:13" ht="63" customHeight="1" collapsed="1" x14ac:dyDescent="0.2">
      <c r="B210" s="252">
        <v>11</v>
      </c>
      <c r="C210" s="250"/>
      <c r="D210" s="11" t="s">
        <v>9</v>
      </c>
      <c r="E210" s="12" t="s">
        <v>5</v>
      </c>
      <c r="F210" s="11" t="s">
        <v>6</v>
      </c>
      <c r="G210" s="11" t="s">
        <v>7</v>
      </c>
      <c r="H210" s="11" t="s">
        <v>8</v>
      </c>
      <c r="I210" s="12" t="s">
        <v>19</v>
      </c>
      <c r="J210" s="21" t="s">
        <v>20</v>
      </c>
      <c r="K210" s="32" t="s">
        <v>179</v>
      </c>
      <c r="L210" s="237" t="s">
        <v>180</v>
      </c>
      <c r="M210" s="33" t="s">
        <v>276</v>
      </c>
    </row>
    <row r="211" spans="2:13" ht="15.75" x14ac:dyDescent="0.2">
      <c r="B211" s="253"/>
      <c r="C211" s="251"/>
      <c r="D211" s="184">
        <v>1</v>
      </c>
      <c r="E211" s="14">
        <f>E115</f>
        <v>0.3</v>
      </c>
      <c r="F211" s="14">
        <f t="shared" ref="F211" si="68">IF($D$2*D211&lt;=200,0.33,0.25)</f>
        <v>0.25</v>
      </c>
      <c r="G211" s="14">
        <f t="shared" ref="G211:G212" si="69">E211*F211</f>
        <v>7.4999999999999997E-2</v>
      </c>
      <c r="H211" s="15">
        <f t="shared" ref="H211:H212" si="70">IF(($D$2*D211)&gt;40,750,IF(AND(8&lt;=($D$2*D211),($D$2*D211)&lt;=40),850,1000))</f>
        <v>750</v>
      </c>
      <c r="I211" s="15">
        <f t="shared" ref="I211:I212" si="71">(E211*F211*H211)</f>
        <v>56.25</v>
      </c>
      <c r="J211" s="22">
        <f>D211*I211</f>
        <v>56.25</v>
      </c>
      <c r="K211" s="186"/>
      <c r="L211" s="233"/>
      <c r="M211" s="286">
        <f>IFERROR((180/($D$2*D211)),0)</f>
        <v>0.38793103448275862</v>
      </c>
    </row>
    <row r="212" spans="2:13" ht="16.5" thickBot="1" x14ac:dyDescent="0.25">
      <c r="B212" s="254"/>
      <c r="C212" s="16"/>
      <c r="D212" s="187">
        <v>1</v>
      </c>
      <c r="E212" s="17">
        <v>2</v>
      </c>
      <c r="F212" s="230">
        <f t="shared" ref="F212" si="72">IF($D$2*D211&lt;=200,0.017,0.0085)</f>
        <v>8.5000000000000006E-3</v>
      </c>
      <c r="G212" s="18">
        <f t="shared" si="69"/>
        <v>1.7000000000000001E-2</v>
      </c>
      <c r="H212" s="188">
        <f t="shared" si="70"/>
        <v>750</v>
      </c>
      <c r="I212" s="188">
        <f t="shared" si="71"/>
        <v>12.750000000000002</v>
      </c>
      <c r="J212" s="23">
        <f>D212*I212</f>
        <v>12.750000000000002</v>
      </c>
      <c r="K212" s="189">
        <f t="shared" ref="K212" si="73">G211*D211+G212*D212</f>
        <v>9.1999999999999998E-2</v>
      </c>
      <c r="L212" s="234">
        <f t="shared" ref="L212" si="74">J211+J212</f>
        <v>69</v>
      </c>
      <c r="M212" s="287"/>
    </row>
    <row r="213" spans="2:13" hidden="1" outlineLevel="1" x14ac:dyDescent="0.2">
      <c r="B213" s="20"/>
      <c r="C213" s="20" t="s">
        <v>376</v>
      </c>
      <c r="D213" s="185">
        <v>1</v>
      </c>
      <c r="E213" s="20"/>
      <c r="F213" s="20"/>
      <c r="G213" s="20"/>
      <c r="H213" s="20"/>
      <c r="I213" s="20"/>
      <c r="J213" s="24"/>
      <c r="K213" s="30"/>
      <c r="L213" s="235"/>
      <c r="M213" s="26"/>
    </row>
    <row r="214" spans="2:13" hidden="1" outlineLevel="1" x14ac:dyDescent="0.2">
      <c r="B214" s="19"/>
      <c r="C214" s="20" t="s">
        <v>410</v>
      </c>
      <c r="D214" s="185">
        <v>1</v>
      </c>
      <c r="E214" s="19"/>
      <c r="F214" s="19"/>
      <c r="G214" s="19"/>
      <c r="H214" s="19"/>
      <c r="I214" s="19"/>
      <c r="J214" s="25"/>
      <c r="K214" s="26"/>
      <c r="L214" s="104"/>
      <c r="M214" s="26"/>
    </row>
    <row r="215" spans="2:13" hidden="1" outlineLevel="1" x14ac:dyDescent="0.2">
      <c r="B215" s="19"/>
      <c r="C215" s="20"/>
      <c r="D215" s="185"/>
      <c r="E215" s="19"/>
      <c r="F215" s="19"/>
      <c r="G215" s="19"/>
      <c r="H215" s="19"/>
      <c r="I215" s="19"/>
      <c r="J215" s="25"/>
      <c r="K215" s="26"/>
      <c r="L215" s="104"/>
      <c r="M215" s="26"/>
    </row>
    <row r="216" spans="2:13" hidden="1" outlineLevel="1" x14ac:dyDescent="0.2">
      <c r="B216" s="19"/>
      <c r="C216" s="20"/>
      <c r="D216" s="185"/>
      <c r="E216" s="19"/>
      <c r="F216" s="19"/>
      <c r="G216" s="19"/>
      <c r="H216" s="19"/>
      <c r="I216" s="19"/>
      <c r="J216" s="25"/>
      <c r="K216" s="26"/>
      <c r="L216" s="104"/>
      <c r="M216" s="26"/>
    </row>
    <row r="217" spans="2:13" hidden="1" outlineLevel="1" x14ac:dyDescent="0.2">
      <c r="B217" s="19"/>
      <c r="C217" s="20"/>
      <c r="D217" s="185"/>
      <c r="E217" s="19"/>
      <c r="F217" s="19"/>
      <c r="G217" s="19"/>
      <c r="H217" s="19"/>
      <c r="I217" s="19"/>
      <c r="J217" s="25"/>
      <c r="K217" s="26"/>
      <c r="L217" s="104"/>
      <c r="M217" s="26"/>
    </row>
    <row r="218" spans="2:13" ht="15.75" hidden="1" outlineLevel="1" thickBot="1" x14ac:dyDescent="0.25">
      <c r="B218" s="27"/>
      <c r="C218" s="20"/>
      <c r="D218" s="185"/>
      <c r="E218" s="27"/>
      <c r="F218" s="27"/>
      <c r="G218" s="27"/>
      <c r="H218" s="27"/>
      <c r="I218" s="27"/>
      <c r="J218" s="28"/>
      <c r="K218" s="29"/>
      <c r="L218" s="236"/>
      <c r="M218" s="26"/>
    </row>
    <row r="219" spans="2:13" ht="83.25" customHeight="1" collapsed="1" x14ac:dyDescent="0.2">
      <c r="B219" s="252">
        <v>12</v>
      </c>
      <c r="C219" s="250"/>
      <c r="D219" s="11" t="s">
        <v>9</v>
      </c>
      <c r="E219" s="12" t="s">
        <v>5</v>
      </c>
      <c r="F219" s="11" t="s">
        <v>6</v>
      </c>
      <c r="G219" s="11" t="s">
        <v>7</v>
      </c>
      <c r="H219" s="11" t="s">
        <v>8</v>
      </c>
      <c r="I219" s="12" t="s">
        <v>19</v>
      </c>
      <c r="J219" s="21" t="s">
        <v>20</v>
      </c>
      <c r="K219" s="32" t="s">
        <v>179</v>
      </c>
      <c r="L219" s="237" t="s">
        <v>180</v>
      </c>
      <c r="M219" s="33" t="s">
        <v>276</v>
      </c>
    </row>
    <row r="220" spans="2:13" ht="15.75" x14ac:dyDescent="0.2">
      <c r="B220" s="253"/>
      <c r="C220" s="251"/>
      <c r="D220" s="184">
        <v>1</v>
      </c>
      <c r="E220" s="14">
        <f>E124</f>
        <v>1.36517</v>
      </c>
      <c r="F220" s="14">
        <f t="shared" ref="F220" si="75">IF($D$2*D220&lt;=200,0.33,0.25)</f>
        <v>0.25</v>
      </c>
      <c r="G220" s="14">
        <f t="shared" ref="G220:G221" si="76">E220*F220</f>
        <v>0.3412925</v>
      </c>
      <c r="H220" s="15">
        <f t="shared" ref="H220:H221" si="77">IF(($D$2*D220)&gt;40,750,IF(AND(8&lt;=($D$2*D220),($D$2*D220)&lt;=40),850,1000))</f>
        <v>750</v>
      </c>
      <c r="I220" s="15">
        <f t="shared" ref="I220:I221" si="78">(E220*F220*H220)</f>
        <v>255.96937499999999</v>
      </c>
      <c r="J220" s="22">
        <f>D220*I220</f>
        <v>255.96937499999999</v>
      </c>
      <c r="K220" s="186"/>
      <c r="L220" s="233"/>
      <c r="M220" s="286">
        <f>IFERROR((180/($D$2*D220)),0)</f>
        <v>0.38793103448275862</v>
      </c>
    </row>
    <row r="221" spans="2:13" ht="16.5" thickBot="1" x14ac:dyDescent="0.25">
      <c r="B221" s="254"/>
      <c r="C221" s="16"/>
      <c r="D221" s="187">
        <v>1</v>
      </c>
      <c r="E221" s="17">
        <v>21</v>
      </c>
      <c r="F221" s="230">
        <f t="shared" ref="F221" si="79">IF($D$2*D220&lt;=200,0.017,0.0085)</f>
        <v>8.5000000000000006E-3</v>
      </c>
      <c r="G221" s="18">
        <f t="shared" si="76"/>
        <v>0.17850000000000002</v>
      </c>
      <c r="H221" s="188">
        <f t="shared" si="77"/>
        <v>750</v>
      </c>
      <c r="I221" s="188">
        <f t="shared" si="78"/>
        <v>133.87500000000003</v>
      </c>
      <c r="J221" s="23">
        <f>D221*I221</f>
        <v>133.87500000000003</v>
      </c>
      <c r="K221" s="189">
        <f t="shared" ref="K221" si="80">G220*D220+G221*D221</f>
        <v>0.51979249999999999</v>
      </c>
      <c r="L221" s="234">
        <f t="shared" ref="L221" si="81">J220+J221</f>
        <v>389.84437500000001</v>
      </c>
      <c r="M221" s="287"/>
    </row>
    <row r="222" spans="2:13" hidden="1" outlineLevel="1" x14ac:dyDescent="0.2">
      <c r="B222" s="20"/>
      <c r="C222" s="20" t="s">
        <v>383</v>
      </c>
      <c r="D222" s="185">
        <v>1</v>
      </c>
      <c r="E222" s="20"/>
      <c r="F222" s="20"/>
      <c r="G222" s="20"/>
      <c r="H222" s="20"/>
      <c r="I222" s="20"/>
      <c r="J222" s="24"/>
      <c r="K222" s="30"/>
      <c r="L222" s="235"/>
      <c r="M222" s="26"/>
    </row>
    <row r="223" spans="2:13" outlineLevel="1" x14ac:dyDescent="0.2">
      <c r="B223" s="20"/>
      <c r="C223" s="20" t="s">
        <v>378</v>
      </c>
      <c r="D223" s="185">
        <v>1</v>
      </c>
      <c r="E223" s="20"/>
      <c r="F223" s="20"/>
      <c r="G223" s="20"/>
      <c r="H223" s="20"/>
      <c r="I223" s="20"/>
      <c r="J223" s="24"/>
      <c r="K223" s="30"/>
      <c r="L223" s="235"/>
      <c r="M223" s="26"/>
    </row>
    <row r="224" spans="2:13" ht="15.75" outlineLevel="1" thickBot="1" x14ac:dyDescent="0.25">
      <c r="B224" s="20"/>
      <c r="C224" s="20" t="s">
        <v>380</v>
      </c>
      <c r="D224" s="185">
        <v>3</v>
      </c>
      <c r="E224" s="20"/>
      <c r="F224" s="20"/>
      <c r="G224" s="20"/>
      <c r="H224" s="20"/>
      <c r="I224" s="20"/>
      <c r="J224" s="24"/>
      <c r="K224" s="30"/>
      <c r="L224" s="235"/>
      <c r="M224" s="26"/>
    </row>
    <row r="225" spans="2:13" hidden="1" outlineLevel="1" x14ac:dyDescent="0.2">
      <c r="B225" s="19"/>
      <c r="C225" s="20" t="s">
        <v>382</v>
      </c>
      <c r="D225" s="185">
        <v>2</v>
      </c>
      <c r="E225" s="19"/>
      <c r="F225" s="19"/>
      <c r="G225" s="19"/>
      <c r="H225" s="19"/>
      <c r="I225" s="19"/>
      <c r="J225" s="25"/>
      <c r="K225" s="26"/>
      <c r="L225" s="104"/>
      <c r="M225" s="26"/>
    </row>
    <row r="226" spans="2:13" hidden="1" outlineLevel="1" x14ac:dyDescent="0.2">
      <c r="B226" s="19"/>
      <c r="C226" s="20" t="s">
        <v>381</v>
      </c>
      <c r="D226" s="185">
        <v>4</v>
      </c>
      <c r="E226" s="19"/>
      <c r="F226" s="19"/>
      <c r="G226" s="19"/>
      <c r="H226" s="19"/>
      <c r="I226" s="19"/>
      <c r="J226" s="25"/>
      <c r="K226" s="26"/>
      <c r="L226" s="104"/>
      <c r="M226" s="26"/>
    </row>
    <row r="227" spans="2:13" hidden="1" outlineLevel="1" x14ac:dyDescent="0.2">
      <c r="B227" s="19"/>
      <c r="C227" s="20" t="s">
        <v>379</v>
      </c>
      <c r="D227" s="185">
        <v>6</v>
      </c>
      <c r="E227" s="19"/>
      <c r="F227" s="19"/>
      <c r="G227" s="19"/>
      <c r="H227" s="19"/>
      <c r="I227" s="19"/>
      <c r="J227" s="25"/>
      <c r="K227" s="26"/>
      <c r="L227" s="104"/>
      <c r="M227" s="26"/>
    </row>
    <row r="228" spans="2:13" hidden="1" outlineLevel="1" x14ac:dyDescent="0.2">
      <c r="B228" s="19"/>
      <c r="C228" s="20" t="s">
        <v>385</v>
      </c>
      <c r="D228" s="185">
        <v>2</v>
      </c>
      <c r="E228" s="19"/>
      <c r="F228" s="19"/>
      <c r="G228" s="19"/>
      <c r="H228" s="19"/>
      <c r="I228" s="19"/>
      <c r="J228" s="25"/>
      <c r="K228" s="26"/>
      <c r="L228" s="104"/>
      <c r="M228" s="26"/>
    </row>
    <row r="229" spans="2:13" ht="15.75" hidden="1" outlineLevel="1" thickBot="1" x14ac:dyDescent="0.25">
      <c r="B229" s="27"/>
      <c r="C229" s="20" t="s">
        <v>384</v>
      </c>
      <c r="D229" s="185">
        <v>2</v>
      </c>
      <c r="E229" s="27"/>
      <c r="F229" s="27"/>
      <c r="G229" s="27"/>
      <c r="H229" s="27"/>
      <c r="I229" s="27"/>
      <c r="J229" s="28"/>
      <c r="K229" s="29"/>
      <c r="L229" s="236"/>
      <c r="M229" s="26"/>
    </row>
    <row r="230" spans="2:13" ht="67.5" customHeight="1" collapsed="1" x14ac:dyDescent="0.2">
      <c r="B230" s="252">
        <v>13</v>
      </c>
      <c r="C230" s="250"/>
      <c r="D230" s="11" t="s">
        <v>9</v>
      </c>
      <c r="E230" s="12" t="s">
        <v>5</v>
      </c>
      <c r="F230" s="11" t="s">
        <v>6</v>
      </c>
      <c r="G230" s="11" t="s">
        <v>7</v>
      </c>
      <c r="H230" s="11" t="s">
        <v>8</v>
      </c>
      <c r="I230" s="12" t="s">
        <v>19</v>
      </c>
      <c r="J230" s="21" t="s">
        <v>20</v>
      </c>
      <c r="K230" s="32" t="s">
        <v>179</v>
      </c>
      <c r="L230" s="237" t="s">
        <v>180</v>
      </c>
      <c r="M230" s="33" t="s">
        <v>276</v>
      </c>
    </row>
    <row r="231" spans="2:13" ht="15.75" x14ac:dyDescent="0.2">
      <c r="B231" s="253"/>
      <c r="C231" s="251"/>
      <c r="D231" s="184">
        <v>1</v>
      </c>
      <c r="E231" s="14">
        <v>0.46400000000000002</v>
      </c>
      <c r="F231" s="14">
        <f t="shared" ref="F231" si="82">IF($D$2*D231&lt;=200,0.33,0.25)</f>
        <v>0.25</v>
      </c>
      <c r="G231" s="14">
        <f t="shared" ref="G231:G232" si="83">E231*F231</f>
        <v>0.11600000000000001</v>
      </c>
      <c r="H231" s="15">
        <f t="shared" ref="H231:H232" si="84">IF(($D$2*D231)&gt;40,750,IF(AND(8&lt;=($D$2*D231),($D$2*D231)&lt;=40),850,1000))</f>
        <v>750</v>
      </c>
      <c r="I231" s="15">
        <f t="shared" ref="I231:I232" si="85">(E231*F231*H231)</f>
        <v>87</v>
      </c>
      <c r="J231" s="22">
        <f>D231*I231</f>
        <v>87</v>
      </c>
      <c r="K231" s="186"/>
      <c r="L231" s="233"/>
      <c r="M231" s="286">
        <f>IFERROR((180/($D$2*D231)),0)</f>
        <v>0.38793103448275862</v>
      </c>
    </row>
    <row r="232" spans="2:13" ht="16.5" thickBot="1" x14ac:dyDescent="0.25">
      <c r="B232" s="254"/>
      <c r="C232" s="16"/>
      <c r="D232" s="187">
        <v>1</v>
      </c>
      <c r="E232" s="17">
        <v>6</v>
      </c>
      <c r="F232" s="230">
        <f t="shared" ref="F232" si="86">IF($D$2*D231&lt;=200,0.017,0.0085)</f>
        <v>8.5000000000000006E-3</v>
      </c>
      <c r="G232" s="18">
        <f t="shared" si="83"/>
        <v>5.1000000000000004E-2</v>
      </c>
      <c r="H232" s="188">
        <f t="shared" si="84"/>
        <v>750</v>
      </c>
      <c r="I232" s="188">
        <f t="shared" si="85"/>
        <v>38.25</v>
      </c>
      <c r="J232" s="23">
        <f>D232*I232</f>
        <v>38.25</v>
      </c>
      <c r="K232" s="189">
        <f t="shared" ref="K232" si="87">G231*D231+G232*D232</f>
        <v>0.16700000000000001</v>
      </c>
      <c r="L232" s="234">
        <f t="shared" ref="L232" si="88">J231+J232</f>
        <v>125.25</v>
      </c>
      <c r="M232" s="287"/>
    </row>
    <row r="233" spans="2:13" hidden="1" outlineLevel="1" x14ac:dyDescent="0.2">
      <c r="B233" s="20"/>
      <c r="C233" s="20" t="s">
        <v>411</v>
      </c>
      <c r="D233" s="185">
        <v>1</v>
      </c>
      <c r="E233" s="20"/>
      <c r="F233" s="20"/>
      <c r="G233" s="20"/>
      <c r="H233" s="20"/>
      <c r="I233" s="20"/>
      <c r="J233" s="24"/>
      <c r="K233" s="30"/>
      <c r="L233" s="235"/>
      <c r="M233" s="26"/>
    </row>
    <row r="234" spans="2:13" hidden="1" outlineLevel="1" x14ac:dyDescent="0.2">
      <c r="B234" s="19"/>
      <c r="C234" s="20" t="s">
        <v>412</v>
      </c>
      <c r="D234" s="185">
        <v>2</v>
      </c>
      <c r="E234" s="19"/>
      <c r="F234" s="19"/>
      <c r="G234" s="19"/>
      <c r="H234" s="19"/>
      <c r="I234" s="19"/>
      <c r="J234" s="25"/>
      <c r="K234" s="26"/>
      <c r="L234" s="104"/>
      <c r="M234" s="26"/>
    </row>
    <row r="235" spans="2:13" hidden="1" outlineLevel="1" x14ac:dyDescent="0.2">
      <c r="B235" s="19"/>
      <c r="C235" s="20" t="s">
        <v>413</v>
      </c>
      <c r="D235" s="185">
        <v>1</v>
      </c>
      <c r="E235" s="19"/>
      <c r="F235" s="19"/>
      <c r="G235" s="19"/>
      <c r="H235" s="19"/>
      <c r="I235" s="19"/>
      <c r="J235" s="25"/>
      <c r="K235" s="26"/>
      <c r="L235" s="104"/>
      <c r="M235" s="26"/>
    </row>
    <row r="236" spans="2:13" hidden="1" outlineLevel="1" x14ac:dyDescent="0.2">
      <c r="B236" s="19"/>
      <c r="C236" s="20" t="s">
        <v>403</v>
      </c>
      <c r="D236" s="185">
        <v>2</v>
      </c>
      <c r="E236" s="19"/>
      <c r="F236" s="19"/>
      <c r="G236" s="19"/>
      <c r="H236" s="19"/>
      <c r="I236" s="19"/>
      <c r="J236" s="25"/>
      <c r="K236" s="26"/>
      <c r="L236" s="104"/>
      <c r="M236" s="26"/>
    </row>
    <row r="237" spans="2:13" hidden="1" outlineLevel="1" x14ac:dyDescent="0.2">
      <c r="B237" s="19"/>
      <c r="C237" s="20"/>
      <c r="D237" s="185"/>
      <c r="E237" s="19"/>
      <c r="F237" s="19"/>
      <c r="G237" s="19"/>
      <c r="H237" s="19"/>
      <c r="I237" s="19"/>
      <c r="J237" s="25"/>
      <c r="K237" s="26"/>
      <c r="L237" s="104"/>
      <c r="M237" s="26"/>
    </row>
    <row r="238" spans="2:13" ht="15.75" hidden="1" outlineLevel="1" thickBot="1" x14ac:dyDescent="0.25">
      <c r="B238" s="27"/>
      <c r="C238" s="20"/>
      <c r="D238" s="185"/>
      <c r="E238" s="27"/>
      <c r="F238" s="27"/>
      <c r="G238" s="27"/>
      <c r="H238" s="27"/>
      <c r="I238" s="27"/>
      <c r="J238" s="28"/>
      <c r="K238" s="29"/>
      <c r="L238" s="236"/>
      <c r="M238" s="26"/>
    </row>
    <row r="239" spans="2:13" ht="68.25" customHeight="1" collapsed="1" x14ac:dyDescent="0.2">
      <c r="B239" s="252">
        <v>14</v>
      </c>
      <c r="C239" s="250"/>
      <c r="D239" s="11" t="s">
        <v>9</v>
      </c>
      <c r="E239" s="12" t="s">
        <v>5</v>
      </c>
      <c r="F239" s="11" t="s">
        <v>6</v>
      </c>
      <c r="G239" s="11" t="s">
        <v>7</v>
      </c>
      <c r="H239" s="11" t="s">
        <v>8</v>
      </c>
      <c r="I239" s="12" t="s">
        <v>19</v>
      </c>
      <c r="J239" s="21" t="s">
        <v>20</v>
      </c>
      <c r="K239" s="32" t="s">
        <v>179</v>
      </c>
      <c r="L239" s="237" t="s">
        <v>180</v>
      </c>
      <c r="M239" s="33" t="s">
        <v>276</v>
      </c>
    </row>
    <row r="240" spans="2:13" ht="15.75" x14ac:dyDescent="0.2">
      <c r="B240" s="253"/>
      <c r="C240" s="251"/>
      <c r="D240" s="184">
        <v>1</v>
      </c>
      <c r="E240" s="14">
        <v>0.21564</v>
      </c>
      <c r="F240" s="14">
        <f t="shared" ref="F240" si="89">IF($D$2*D240&lt;=200,0.33,0.25)</f>
        <v>0.25</v>
      </c>
      <c r="G240" s="14">
        <f t="shared" ref="G240:G241" si="90">E240*F240</f>
        <v>5.391E-2</v>
      </c>
      <c r="H240" s="15">
        <f t="shared" ref="H240:H241" si="91">IF(($D$2*D240)&gt;40,750,IF(AND(8&lt;=($D$2*D240),($D$2*D240)&lt;=40),850,1000))</f>
        <v>750</v>
      </c>
      <c r="I240" s="15">
        <f t="shared" ref="I240:I241" si="92">(E240*F240*H240)</f>
        <v>40.432499999999997</v>
      </c>
      <c r="J240" s="22">
        <f>D240*I240</f>
        <v>40.432499999999997</v>
      </c>
      <c r="K240" s="186"/>
      <c r="L240" s="233"/>
      <c r="M240" s="286">
        <f>IFERROR((180/($D$2*D240)),0)</f>
        <v>0.38793103448275862</v>
      </c>
    </row>
    <row r="241" spans="2:13" ht="16.5" thickBot="1" x14ac:dyDescent="0.25">
      <c r="B241" s="254"/>
      <c r="C241" s="16"/>
      <c r="D241" s="187">
        <v>1</v>
      </c>
      <c r="E241" s="17">
        <v>4</v>
      </c>
      <c r="F241" s="230">
        <f t="shared" ref="F241" si="93">IF($D$2*D240&lt;=200,0.017,0.0085)</f>
        <v>8.5000000000000006E-3</v>
      </c>
      <c r="G241" s="18">
        <f t="shared" si="90"/>
        <v>3.4000000000000002E-2</v>
      </c>
      <c r="H241" s="188">
        <f t="shared" si="91"/>
        <v>750</v>
      </c>
      <c r="I241" s="188">
        <f t="shared" si="92"/>
        <v>25.500000000000004</v>
      </c>
      <c r="J241" s="23">
        <f>D241*I241</f>
        <v>25.500000000000004</v>
      </c>
      <c r="K241" s="189">
        <f t="shared" ref="K241" si="94">G240*D240+G241*D241</f>
        <v>8.7910000000000002E-2</v>
      </c>
      <c r="L241" s="234">
        <f t="shared" ref="L241" si="95">J240+J241</f>
        <v>65.932500000000005</v>
      </c>
      <c r="M241" s="287"/>
    </row>
    <row r="242" spans="2:13" hidden="1" outlineLevel="1" x14ac:dyDescent="0.2">
      <c r="B242" s="20"/>
      <c r="C242" s="20" t="s">
        <v>406</v>
      </c>
      <c r="D242" s="185">
        <v>2</v>
      </c>
      <c r="E242" s="20"/>
      <c r="F242" s="20"/>
      <c r="G242" s="20"/>
      <c r="H242" s="20"/>
      <c r="I242" s="20"/>
      <c r="J242" s="24"/>
      <c r="K242" s="30"/>
      <c r="L242" s="235"/>
      <c r="M242" s="26"/>
    </row>
    <row r="243" spans="2:13" hidden="1" outlineLevel="1" x14ac:dyDescent="0.2">
      <c r="B243" s="19"/>
      <c r="C243" s="20" t="s">
        <v>414</v>
      </c>
      <c r="D243" s="185">
        <v>2</v>
      </c>
      <c r="E243" s="19"/>
      <c r="F243" s="19"/>
      <c r="G243" s="19"/>
      <c r="H243" s="19"/>
      <c r="I243" s="19"/>
      <c r="J243" s="25"/>
      <c r="K243" s="26"/>
      <c r="L243" s="104"/>
      <c r="M243" s="26"/>
    </row>
    <row r="244" spans="2:13" hidden="1" outlineLevel="1" x14ac:dyDescent="0.2">
      <c r="B244" s="19"/>
      <c r="C244" s="20"/>
      <c r="D244" s="185"/>
      <c r="E244" s="19"/>
      <c r="F244" s="19"/>
      <c r="G244" s="19"/>
      <c r="H244" s="19"/>
      <c r="I244" s="19"/>
      <c r="J244" s="25"/>
      <c r="K244" s="26"/>
      <c r="L244" s="104"/>
      <c r="M244" s="26"/>
    </row>
    <row r="245" spans="2:13" hidden="1" outlineLevel="1" x14ac:dyDescent="0.2">
      <c r="B245" s="19"/>
      <c r="C245" s="20"/>
      <c r="D245" s="185"/>
      <c r="E245" s="19"/>
      <c r="F245" s="19"/>
      <c r="G245" s="19"/>
      <c r="H245" s="19"/>
      <c r="I245" s="19"/>
      <c r="J245" s="25"/>
      <c r="K245" s="26"/>
      <c r="L245" s="104"/>
      <c r="M245" s="26"/>
    </row>
    <row r="246" spans="2:13" hidden="1" outlineLevel="1" x14ac:dyDescent="0.2">
      <c r="B246" s="19"/>
      <c r="C246" s="20"/>
      <c r="D246" s="185"/>
      <c r="E246" s="19"/>
      <c r="F246" s="19"/>
      <c r="G246" s="19"/>
      <c r="H246" s="19"/>
      <c r="I246" s="19"/>
      <c r="J246" s="25"/>
      <c r="K246" s="26"/>
      <c r="L246" s="104"/>
      <c r="M246" s="26"/>
    </row>
    <row r="247" spans="2:13" ht="15.75" hidden="1" outlineLevel="1" thickBot="1" x14ac:dyDescent="0.25">
      <c r="B247" s="27"/>
      <c r="C247" s="20"/>
      <c r="D247" s="185"/>
      <c r="E247" s="27"/>
      <c r="F247" s="27"/>
      <c r="G247" s="27"/>
      <c r="H247" s="27"/>
      <c r="I247" s="27"/>
      <c r="J247" s="28"/>
      <c r="K247" s="29"/>
      <c r="L247" s="236"/>
      <c r="M247" s="26"/>
    </row>
    <row r="248" spans="2:13" ht="75" customHeight="1" collapsed="1" x14ac:dyDescent="0.2">
      <c r="B248" s="252">
        <v>15</v>
      </c>
      <c r="C248" s="250"/>
      <c r="D248" s="11" t="s">
        <v>9</v>
      </c>
      <c r="E248" s="12" t="s">
        <v>5</v>
      </c>
      <c r="F248" s="11" t="s">
        <v>6</v>
      </c>
      <c r="G248" s="11" t="s">
        <v>7</v>
      </c>
      <c r="H248" s="11" t="s">
        <v>8</v>
      </c>
      <c r="I248" s="12" t="s">
        <v>19</v>
      </c>
      <c r="J248" s="21" t="s">
        <v>20</v>
      </c>
      <c r="K248" s="32" t="s">
        <v>179</v>
      </c>
      <c r="L248" s="237" t="s">
        <v>180</v>
      </c>
      <c r="M248" s="33" t="s">
        <v>276</v>
      </c>
    </row>
    <row r="249" spans="2:13" ht="15.75" x14ac:dyDescent="0.2">
      <c r="B249" s="253"/>
      <c r="C249" s="251"/>
      <c r="D249" s="184">
        <v>1</v>
      </c>
      <c r="E249" s="14">
        <v>0</v>
      </c>
      <c r="F249" s="14">
        <f t="shared" ref="F249" si="96">IF($D$2*D249&lt;=200,0.33,0.25)</f>
        <v>0.25</v>
      </c>
      <c r="G249" s="14">
        <f t="shared" ref="G249:G250" si="97">E249*F249</f>
        <v>0</v>
      </c>
      <c r="H249" s="15">
        <f t="shared" ref="H249:H250" si="98">IF(($D$2*D249)&gt;40,750,IF(AND(8&lt;=($D$2*D249),($D$2*D249)&lt;=40),850,1000))</f>
        <v>750</v>
      </c>
      <c r="I249" s="15">
        <f t="shared" ref="I249:I250" si="99">(E249*F249*H249)</f>
        <v>0</v>
      </c>
      <c r="J249" s="22">
        <f>D249*I249</f>
        <v>0</v>
      </c>
      <c r="K249" s="186"/>
      <c r="L249" s="233"/>
      <c r="M249" s="286">
        <f>IFERROR((180/($D$2*D249)),0)</f>
        <v>0.38793103448275862</v>
      </c>
    </row>
    <row r="250" spans="2:13" ht="16.5" thickBot="1" x14ac:dyDescent="0.25">
      <c r="B250" s="254"/>
      <c r="C250" s="16"/>
      <c r="D250" s="187">
        <v>1</v>
      </c>
      <c r="E250" s="17">
        <v>8</v>
      </c>
      <c r="F250" s="230">
        <f t="shared" ref="F250" si="100">IF($D$2*D249&lt;=200,0.017,0.0085)</f>
        <v>8.5000000000000006E-3</v>
      </c>
      <c r="G250" s="18">
        <f t="shared" si="97"/>
        <v>6.8000000000000005E-2</v>
      </c>
      <c r="H250" s="188">
        <f t="shared" si="98"/>
        <v>750</v>
      </c>
      <c r="I250" s="188">
        <f t="shared" si="99"/>
        <v>51.000000000000007</v>
      </c>
      <c r="J250" s="249"/>
      <c r="K250" s="189">
        <f t="shared" ref="K250" si="101">G249*D249+G250*D250</f>
        <v>6.8000000000000005E-2</v>
      </c>
      <c r="L250" s="234">
        <f t="shared" ref="L250" si="102">J249+J250</f>
        <v>0</v>
      </c>
      <c r="M250" s="287"/>
    </row>
    <row r="251" spans="2:13" hidden="1" outlineLevel="1" x14ac:dyDescent="0.2">
      <c r="B251" s="20"/>
      <c r="C251" s="20" t="s">
        <v>415</v>
      </c>
      <c r="D251" s="185">
        <v>1</v>
      </c>
      <c r="E251" s="20"/>
      <c r="F251" s="20"/>
      <c r="G251" s="20"/>
      <c r="H251" s="20"/>
      <c r="I251" s="20"/>
      <c r="J251" s="24"/>
      <c r="K251" s="30"/>
      <c r="L251" s="235"/>
      <c r="M251" s="26"/>
    </row>
    <row r="252" spans="2:13" ht="15.75" outlineLevel="1" thickBot="1" x14ac:dyDescent="0.25">
      <c r="B252" s="20"/>
      <c r="C252" s="20" t="s">
        <v>416</v>
      </c>
      <c r="D252" s="185">
        <v>1</v>
      </c>
      <c r="E252" s="20"/>
      <c r="F252" s="20"/>
      <c r="G252" s="20"/>
      <c r="H252" s="20"/>
      <c r="I252" s="20"/>
      <c r="J252" s="24"/>
      <c r="K252" s="30"/>
      <c r="L252" s="235"/>
      <c r="M252" s="26"/>
    </row>
    <row r="253" spans="2:13" hidden="1" outlineLevel="1" x14ac:dyDescent="0.2">
      <c r="B253" s="19"/>
      <c r="C253" s="20" t="s">
        <v>417</v>
      </c>
      <c r="D253" s="185">
        <v>1</v>
      </c>
      <c r="E253" s="19"/>
      <c r="F253" s="19"/>
      <c r="G253" s="19"/>
      <c r="H253" s="19"/>
      <c r="I253" s="19"/>
      <c r="J253" s="25"/>
      <c r="K253" s="26"/>
      <c r="L253" s="104"/>
      <c r="M253" s="26"/>
    </row>
    <row r="254" spans="2:13" hidden="1" outlineLevel="1" x14ac:dyDescent="0.2">
      <c r="B254" s="19"/>
      <c r="C254" s="20" t="s">
        <v>418</v>
      </c>
      <c r="D254" s="185">
        <v>1</v>
      </c>
      <c r="E254" s="19"/>
      <c r="F254" s="19"/>
      <c r="G254" s="19"/>
      <c r="H254" s="19"/>
      <c r="I254" s="19"/>
      <c r="J254" s="25"/>
      <c r="K254" s="26"/>
      <c r="L254" s="104"/>
      <c r="M254" s="26"/>
    </row>
    <row r="255" spans="2:13" hidden="1" outlineLevel="1" x14ac:dyDescent="0.2">
      <c r="B255" s="19"/>
      <c r="C255" s="20" t="s">
        <v>419</v>
      </c>
      <c r="D255" s="185">
        <v>2</v>
      </c>
      <c r="E255" s="19"/>
      <c r="F255" s="19"/>
      <c r="G255" s="19"/>
      <c r="H255" s="19"/>
      <c r="I255" s="19"/>
      <c r="J255" s="25"/>
      <c r="K255" s="26"/>
      <c r="L255" s="104"/>
      <c r="M255" s="26"/>
    </row>
    <row r="256" spans="2:13" hidden="1" outlineLevel="1" x14ac:dyDescent="0.2">
      <c r="B256" s="19"/>
      <c r="C256" s="20" t="s">
        <v>420</v>
      </c>
      <c r="D256" s="185">
        <v>1</v>
      </c>
      <c r="E256" s="19"/>
      <c r="F256" s="19"/>
      <c r="G256" s="19"/>
      <c r="H256" s="19"/>
      <c r="I256" s="19"/>
      <c r="J256" s="25"/>
      <c r="K256" s="26"/>
      <c r="L256" s="104"/>
      <c r="M256" s="26"/>
    </row>
    <row r="257" spans="2:13" ht="15.75" hidden="1" outlineLevel="1" thickBot="1" x14ac:dyDescent="0.25">
      <c r="B257" s="27"/>
      <c r="C257" s="20" t="s">
        <v>421</v>
      </c>
      <c r="D257" s="185">
        <v>1</v>
      </c>
      <c r="E257" s="27"/>
      <c r="F257" s="27"/>
      <c r="G257" s="27"/>
      <c r="H257" s="27"/>
      <c r="I257" s="27"/>
      <c r="J257" s="28"/>
      <c r="K257" s="29"/>
      <c r="L257" s="236"/>
      <c r="M257" s="26"/>
    </row>
    <row r="258" spans="2:13" ht="63.75" collapsed="1" x14ac:dyDescent="0.2">
      <c r="B258" s="252">
        <v>16</v>
      </c>
      <c r="C258" s="250"/>
      <c r="D258" s="11" t="s">
        <v>9</v>
      </c>
      <c r="E258" s="12" t="s">
        <v>5</v>
      </c>
      <c r="F258" s="11" t="s">
        <v>6</v>
      </c>
      <c r="G258" s="11" t="s">
        <v>7</v>
      </c>
      <c r="H258" s="11" t="s">
        <v>8</v>
      </c>
      <c r="I258" s="12" t="s">
        <v>19</v>
      </c>
      <c r="J258" s="21" t="s">
        <v>20</v>
      </c>
      <c r="K258" s="32" t="s">
        <v>179</v>
      </c>
      <c r="L258" s="237" t="s">
        <v>180</v>
      </c>
      <c r="M258" s="33" t="s">
        <v>276</v>
      </c>
    </row>
    <row r="259" spans="2:13" ht="15.75" x14ac:dyDescent="0.2">
      <c r="B259" s="253"/>
      <c r="C259" s="251"/>
      <c r="D259" s="184">
        <v>0</v>
      </c>
      <c r="E259" s="14">
        <v>0</v>
      </c>
      <c r="F259" s="14">
        <f t="shared" ref="F259" si="103">IF($D$2*D259&lt;=200,0.33,0.25)</f>
        <v>0.33</v>
      </c>
      <c r="G259" s="14">
        <f t="shared" ref="G259:G260" si="104">E259*F259</f>
        <v>0</v>
      </c>
      <c r="H259" s="15">
        <f t="shared" ref="H259:H260" si="105">IF(($D$2*D259)&gt;40,750,IF(AND(8&lt;=($D$2*D259),($D$2*D259)&lt;=40),850,1000))</f>
        <v>1000</v>
      </c>
      <c r="I259" s="15">
        <f t="shared" ref="I259:I260" si="106">(E259*F259*H259)</f>
        <v>0</v>
      </c>
      <c r="J259" s="22">
        <f>D259*I259</f>
        <v>0</v>
      </c>
      <c r="K259" s="186"/>
      <c r="L259" s="233"/>
      <c r="M259" s="286">
        <f>IFERROR((180/($D$2*D259)),0)</f>
        <v>0</v>
      </c>
    </row>
    <row r="260" spans="2:13" ht="16.5" thickBot="1" x14ac:dyDescent="0.25">
      <c r="B260" s="254"/>
      <c r="C260" s="16"/>
      <c r="D260" s="187">
        <v>0</v>
      </c>
      <c r="E260" s="17"/>
      <c r="F260" s="230">
        <f t="shared" ref="F260" si="107">IF($D$2*D259&lt;=200,0.017,0.0085)</f>
        <v>1.7000000000000001E-2</v>
      </c>
      <c r="G260" s="18">
        <f t="shared" si="104"/>
        <v>0</v>
      </c>
      <c r="H260" s="188">
        <f t="shared" si="105"/>
        <v>1000</v>
      </c>
      <c r="I260" s="188">
        <f t="shared" si="106"/>
        <v>0</v>
      </c>
      <c r="J260" s="23">
        <f>D260*I260</f>
        <v>0</v>
      </c>
      <c r="K260" s="189">
        <f t="shared" ref="K260" si="108">G259*D259+G260*D260</f>
        <v>0</v>
      </c>
      <c r="L260" s="234">
        <f t="shared" ref="L260" si="109">J259+J260</f>
        <v>0</v>
      </c>
      <c r="M260" s="287"/>
    </row>
    <row r="261" spans="2:13" hidden="1" outlineLevel="1" x14ac:dyDescent="0.2">
      <c r="B261" s="20"/>
      <c r="C261" s="20"/>
      <c r="D261" s="185"/>
      <c r="E261" s="20"/>
      <c r="F261" s="20"/>
      <c r="G261" s="20"/>
      <c r="H261" s="20"/>
      <c r="I261" s="20"/>
      <c r="J261" s="24"/>
      <c r="K261" s="30"/>
      <c r="L261" s="235"/>
      <c r="M261" s="26"/>
    </row>
    <row r="262" spans="2:13" hidden="1" outlineLevel="1" x14ac:dyDescent="0.2">
      <c r="B262" s="19"/>
      <c r="C262" s="20"/>
      <c r="D262" s="185"/>
      <c r="E262" s="19"/>
      <c r="F262" s="19"/>
      <c r="G262" s="19"/>
      <c r="H262" s="19"/>
      <c r="I262" s="19"/>
      <c r="J262" s="25"/>
      <c r="K262" s="26"/>
      <c r="L262" s="104"/>
      <c r="M262" s="26"/>
    </row>
    <row r="263" spans="2:13" hidden="1" outlineLevel="1" x14ac:dyDescent="0.2">
      <c r="B263" s="19"/>
      <c r="C263" s="20"/>
      <c r="D263" s="185"/>
      <c r="E263" s="19"/>
      <c r="F263" s="19"/>
      <c r="G263" s="19"/>
      <c r="H263" s="19"/>
      <c r="I263" s="19"/>
      <c r="J263" s="25"/>
      <c r="K263" s="26"/>
      <c r="L263" s="104"/>
      <c r="M263" s="26"/>
    </row>
    <row r="264" spans="2:13" hidden="1" outlineLevel="1" x14ac:dyDescent="0.2">
      <c r="B264" s="19"/>
      <c r="C264" s="20"/>
      <c r="D264" s="185"/>
      <c r="E264" s="19"/>
      <c r="F264" s="19"/>
      <c r="G264" s="19"/>
      <c r="H264" s="19"/>
      <c r="I264" s="19"/>
      <c r="J264" s="25"/>
      <c r="K264" s="26"/>
      <c r="L264" s="104"/>
      <c r="M264" s="26"/>
    </row>
    <row r="265" spans="2:13" hidden="1" outlineLevel="1" x14ac:dyDescent="0.2">
      <c r="B265" s="19"/>
      <c r="C265" s="20"/>
      <c r="D265" s="185"/>
      <c r="E265" s="19"/>
      <c r="F265" s="19"/>
      <c r="G265" s="19"/>
      <c r="H265" s="19"/>
      <c r="I265" s="19"/>
      <c r="J265" s="25"/>
      <c r="K265" s="26"/>
      <c r="L265" s="104"/>
      <c r="M265" s="26"/>
    </row>
    <row r="266" spans="2:13" ht="15.75" hidden="1" outlineLevel="1" thickBot="1" x14ac:dyDescent="0.25">
      <c r="B266" s="27"/>
      <c r="C266" s="20"/>
      <c r="D266" s="185"/>
      <c r="E266" s="27"/>
      <c r="F266" s="27"/>
      <c r="G266" s="27"/>
      <c r="H266" s="27"/>
      <c r="I266" s="27"/>
      <c r="J266" s="28"/>
      <c r="K266" s="29"/>
      <c r="L266" s="236"/>
      <c r="M266" s="26"/>
    </row>
    <row r="267" spans="2:13" ht="63.75" collapsed="1" x14ac:dyDescent="0.2">
      <c r="B267" s="252">
        <v>17</v>
      </c>
      <c r="C267" s="250"/>
      <c r="D267" s="11" t="s">
        <v>9</v>
      </c>
      <c r="E267" s="12" t="s">
        <v>5</v>
      </c>
      <c r="F267" s="11" t="s">
        <v>6</v>
      </c>
      <c r="G267" s="11" t="s">
        <v>7</v>
      </c>
      <c r="H267" s="11" t="s">
        <v>8</v>
      </c>
      <c r="I267" s="12" t="s">
        <v>19</v>
      </c>
      <c r="J267" s="21" t="s">
        <v>20</v>
      </c>
      <c r="K267" s="32" t="s">
        <v>179</v>
      </c>
      <c r="L267" s="237" t="s">
        <v>180</v>
      </c>
      <c r="M267" s="33" t="s">
        <v>276</v>
      </c>
    </row>
    <row r="268" spans="2:13" ht="15.75" x14ac:dyDescent="0.2">
      <c r="B268" s="253"/>
      <c r="C268" s="251"/>
      <c r="D268" s="184">
        <v>0</v>
      </c>
      <c r="E268" s="14">
        <v>0</v>
      </c>
      <c r="F268" s="14">
        <f t="shared" ref="F268" si="110">IF($D$2*D268&lt;=200,0.33,0.25)</f>
        <v>0.33</v>
      </c>
      <c r="G268" s="14">
        <f t="shared" ref="G268:G269" si="111">E268*F268</f>
        <v>0</v>
      </c>
      <c r="H268" s="15">
        <f t="shared" ref="H268:H269" si="112">IF(($D$2*D268)&gt;40,750,IF(AND(8&lt;=($D$2*D268),($D$2*D268)&lt;=40),850,1000))</f>
        <v>1000</v>
      </c>
      <c r="I268" s="15">
        <f t="shared" ref="I268:I269" si="113">(E268*F268*H268)</f>
        <v>0</v>
      </c>
      <c r="J268" s="22">
        <f>D268*I268</f>
        <v>0</v>
      </c>
      <c r="K268" s="186"/>
      <c r="L268" s="233"/>
      <c r="M268" s="286">
        <f>IFERROR((180/($D$2*D268)),0)</f>
        <v>0</v>
      </c>
    </row>
    <row r="269" spans="2:13" ht="16.5" thickBot="1" x14ac:dyDescent="0.25">
      <c r="B269" s="254"/>
      <c r="C269" s="16"/>
      <c r="D269" s="187">
        <v>0</v>
      </c>
      <c r="E269" s="17"/>
      <c r="F269" s="230">
        <f t="shared" ref="F269" si="114">IF($D$2*D268&lt;=200,0.017,0.0085)</f>
        <v>1.7000000000000001E-2</v>
      </c>
      <c r="G269" s="18">
        <f t="shared" si="111"/>
        <v>0</v>
      </c>
      <c r="H269" s="188">
        <f t="shared" si="112"/>
        <v>1000</v>
      </c>
      <c r="I269" s="188">
        <f t="shared" si="113"/>
        <v>0</v>
      </c>
      <c r="J269" s="23">
        <f>D269*I269</f>
        <v>0</v>
      </c>
      <c r="K269" s="189">
        <f t="shared" ref="K269" si="115">G268*D268+G269*D269</f>
        <v>0</v>
      </c>
      <c r="L269" s="234">
        <f t="shared" ref="L269" si="116">J268+J269</f>
        <v>0</v>
      </c>
      <c r="M269" s="287"/>
    </row>
    <row r="270" spans="2:13" hidden="1" outlineLevel="1" x14ac:dyDescent="0.2">
      <c r="B270" s="20"/>
      <c r="C270" s="20"/>
      <c r="D270" s="185"/>
      <c r="E270" s="20"/>
      <c r="F270" s="20"/>
      <c r="G270" s="20"/>
      <c r="H270" s="20"/>
      <c r="I270" s="20"/>
      <c r="J270" s="24"/>
      <c r="K270" s="30"/>
      <c r="L270" s="235"/>
      <c r="M270" s="26"/>
    </row>
    <row r="271" spans="2:13" hidden="1" outlineLevel="1" x14ac:dyDescent="0.2">
      <c r="B271" s="19"/>
      <c r="C271" s="20"/>
      <c r="D271" s="185"/>
      <c r="E271" s="19"/>
      <c r="F271" s="19"/>
      <c r="G271" s="19"/>
      <c r="H271" s="19"/>
      <c r="I271" s="19"/>
      <c r="J271" s="25"/>
      <c r="K271" s="26"/>
      <c r="L271" s="104"/>
      <c r="M271" s="26"/>
    </row>
    <row r="272" spans="2:13" hidden="1" outlineLevel="1" x14ac:dyDescent="0.2">
      <c r="B272" s="19"/>
      <c r="C272" s="20"/>
      <c r="D272" s="185"/>
      <c r="E272" s="19"/>
      <c r="F272" s="19"/>
      <c r="G272" s="19"/>
      <c r="H272" s="19"/>
      <c r="I272" s="19"/>
      <c r="J272" s="25"/>
      <c r="K272" s="26"/>
      <c r="L272" s="104"/>
      <c r="M272" s="26"/>
    </row>
    <row r="273" spans="2:13" hidden="1" outlineLevel="1" x14ac:dyDescent="0.2">
      <c r="B273" s="19"/>
      <c r="C273" s="20"/>
      <c r="D273" s="185"/>
      <c r="E273" s="19"/>
      <c r="F273" s="19"/>
      <c r="G273" s="19"/>
      <c r="H273" s="19"/>
      <c r="I273" s="19"/>
      <c r="J273" s="25"/>
      <c r="K273" s="26"/>
      <c r="L273" s="104"/>
      <c r="M273" s="26"/>
    </row>
    <row r="274" spans="2:13" hidden="1" outlineLevel="1" x14ac:dyDescent="0.2">
      <c r="B274" s="19"/>
      <c r="C274" s="20"/>
      <c r="D274" s="185"/>
      <c r="E274" s="19"/>
      <c r="F274" s="19"/>
      <c r="G274" s="19"/>
      <c r="H274" s="19"/>
      <c r="I274" s="19"/>
      <c r="J274" s="25"/>
      <c r="K274" s="26"/>
      <c r="L274" s="104"/>
      <c r="M274" s="26"/>
    </row>
    <row r="275" spans="2:13" ht="15.75" hidden="1" outlineLevel="1" thickBot="1" x14ac:dyDescent="0.25">
      <c r="B275" s="27"/>
      <c r="C275" s="20"/>
      <c r="D275" s="185"/>
      <c r="E275" s="27"/>
      <c r="F275" s="27"/>
      <c r="G275" s="27"/>
      <c r="H275" s="27"/>
      <c r="I275" s="27"/>
      <c r="J275" s="28"/>
      <c r="K275" s="29"/>
      <c r="L275" s="236"/>
      <c r="M275" s="26"/>
    </row>
    <row r="276" spans="2:13" ht="63.75" collapsed="1" x14ac:dyDescent="0.2">
      <c r="B276" s="252">
        <v>18</v>
      </c>
      <c r="C276" s="250"/>
      <c r="D276" s="11" t="s">
        <v>9</v>
      </c>
      <c r="E276" s="12" t="s">
        <v>5</v>
      </c>
      <c r="F276" s="11" t="s">
        <v>6</v>
      </c>
      <c r="G276" s="11" t="s">
        <v>7</v>
      </c>
      <c r="H276" s="11" t="s">
        <v>8</v>
      </c>
      <c r="I276" s="12" t="s">
        <v>19</v>
      </c>
      <c r="J276" s="21" t="s">
        <v>20</v>
      </c>
      <c r="K276" s="32" t="s">
        <v>179</v>
      </c>
      <c r="L276" s="237" t="s">
        <v>180</v>
      </c>
      <c r="M276" s="33" t="s">
        <v>276</v>
      </c>
    </row>
    <row r="277" spans="2:13" ht="15.75" x14ac:dyDescent="0.2">
      <c r="B277" s="253"/>
      <c r="C277" s="251"/>
      <c r="D277" s="184">
        <v>0</v>
      </c>
      <c r="E277" s="14">
        <v>0</v>
      </c>
      <c r="F277" s="14">
        <f t="shared" ref="F277" si="117">IF($D$2*D277&lt;=200,0.33,0.25)</f>
        <v>0.33</v>
      </c>
      <c r="G277" s="14">
        <f t="shared" ref="G277:G278" si="118">E277*F277</f>
        <v>0</v>
      </c>
      <c r="H277" s="15">
        <f t="shared" ref="H277:H278" si="119">IF(($D$2*D277)&gt;40,750,IF(AND(8&lt;=($D$2*D277),($D$2*D277)&lt;=40),850,1000))</f>
        <v>1000</v>
      </c>
      <c r="I277" s="15">
        <f t="shared" ref="I277:I278" si="120">(E277*F277*H277)</f>
        <v>0</v>
      </c>
      <c r="J277" s="22">
        <f>D277*I277</f>
        <v>0</v>
      </c>
      <c r="K277" s="186"/>
      <c r="L277" s="233"/>
      <c r="M277" s="286">
        <f>IFERROR((180/($D$2*D277)),0)</f>
        <v>0</v>
      </c>
    </row>
    <row r="278" spans="2:13" ht="16.5" thickBot="1" x14ac:dyDescent="0.25">
      <c r="B278" s="254"/>
      <c r="C278" s="16"/>
      <c r="D278" s="187">
        <v>0</v>
      </c>
      <c r="E278" s="17"/>
      <c r="F278" s="230">
        <f t="shared" ref="F278" si="121">IF($D$2*D277&lt;=200,0.017,0.0085)</f>
        <v>1.7000000000000001E-2</v>
      </c>
      <c r="G278" s="18">
        <f t="shared" si="118"/>
        <v>0</v>
      </c>
      <c r="H278" s="188">
        <f t="shared" si="119"/>
        <v>1000</v>
      </c>
      <c r="I278" s="188">
        <f t="shared" si="120"/>
        <v>0</v>
      </c>
      <c r="J278" s="23">
        <f>D278*I278</f>
        <v>0</v>
      </c>
      <c r="K278" s="189">
        <f t="shared" ref="K278" si="122">G277*D277+G278*D278</f>
        <v>0</v>
      </c>
      <c r="L278" s="234">
        <f t="shared" ref="L278" si="123">J277+J278</f>
        <v>0</v>
      </c>
      <c r="M278" s="287"/>
    </row>
    <row r="279" spans="2:13" hidden="1" outlineLevel="1" x14ac:dyDescent="0.2">
      <c r="B279" s="20"/>
      <c r="C279" s="20"/>
      <c r="D279" s="185"/>
      <c r="E279" s="20"/>
      <c r="F279" s="20"/>
      <c r="G279" s="20"/>
      <c r="H279" s="20"/>
      <c r="I279" s="20"/>
      <c r="J279" s="24"/>
      <c r="K279" s="30"/>
      <c r="L279" s="235"/>
      <c r="M279" s="26"/>
    </row>
    <row r="280" spans="2:13" hidden="1" outlineLevel="1" x14ac:dyDescent="0.2">
      <c r="B280" s="19"/>
      <c r="C280" s="20"/>
      <c r="D280" s="185"/>
      <c r="E280" s="19"/>
      <c r="F280" s="19"/>
      <c r="G280" s="19"/>
      <c r="H280" s="19"/>
      <c r="I280" s="19"/>
      <c r="J280" s="25"/>
      <c r="K280" s="26"/>
      <c r="L280" s="104"/>
      <c r="M280" s="26"/>
    </row>
    <row r="281" spans="2:13" hidden="1" outlineLevel="1" x14ac:dyDescent="0.2">
      <c r="B281" s="19"/>
      <c r="C281" s="20"/>
      <c r="D281" s="185"/>
      <c r="E281" s="19"/>
      <c r="F281" s="19"/>
      <c r="G281" s="19"/>
      <c r="H281" s="19"/>
      <c r="I281" s="19"/>
      <c r="J281" s="25"/>
      <c r="K281" s="26"/>
      <c r="L281" s="104"/>
      <c r="M281" s="26"/>
    </row>
    <row r="282" spans="2:13" hidden="1" outlineLevel="1" x14ac:dyDescent="0.2">
      <c r="B282" s="19"/>
      <c r="C282" s="20"/>
      <c r="D282" s="185"/>
      <c r="E282" s="19"/>
      <c r="F282" s="19"/>
      <c r="G282" s="19"/>
      <c r="H282" s="19"/>
      <c r="I282" s="19"/>
      <c r="J282" s="25"/>
      <c r="K282" s="26"/>
      <c r="L282" s="104"/>
      <c r="M282" s="26"/>
    </row>
    <row r="283" spans="2:13" hidden="1" outlineLevel="1" x14ac:dyDescent="0.2">
      <c r="B283" s="19"/>
      <c r="C283" s="20"/>
      <c r="D283" s="185"/>
      <c r="E283" s="19"/>
      <c r="F283" s="19"/>
      <c r="G283" s="19"/>
      <c r="H283" s="19"/>
      <c r="I283" s="19"/>
      <c r="J283" s="25"/>
      <c r="K283" s="26"/>
      <c r="L283" s="104"/>
      <c r="M283" s="26"/>
    </row>
    <row r="284" spans="2:13" ht="15.75" hidden="1" outlineLevel="1" thickBot="1" x14ac:dyDescent="0.25">
      <c r="B284" s="27"/>
      <c r="C284" s="20"/>
      <c r="D284" s="185"/>
      <c r="E284" s="27"/>
      <c r="F284" s="27"/>
      <c r="G284" s="27"/>
      <c r="H284" s="27"/>
      <c r="I284" s="27"/>
      <c r="J284" s="28"/>
      <c r="K284" s="29"/>
      <c r="L284" s="236"/>
      <c r="M284" s="26"/>
    </row>
    <row r="285" spans="2:13" ht="63.75" collapsed="1" x14ac:dyDescent="0.2">
      <c r="B285" s="252">
        <v>19</v>
      </c>
      <c r="C285" s="250"/>
      <c r="D285" s="11" t="s">
        <v>9</v>
      </c>
      <c r="E285" s="12" t="s">
        <v>5</v>
      </c>
      <c r="F285" s="11" t="s">
        <v>6</v>
      </c>
      <c r="G285" s="11" t="s">
        <v>7</v>
      </c>
      <c r="H285" s="11" t="s">
        <v>8</v>
      </c>
      <c r="I285" s="12" t="s">
        <v>19</v>
      </c>
      <c r="J285" s="21" t="s">
        <v>20</v>
      </c>
      <c r="K285" s="32" t="s">
        <v>179</v>
      </c>
      <c r="L285" s="237" t="s">
        <v>180</v>
      </c>
      <c r="M285" s="33" t="s">
        <v>276</v>
      </c>
    </row>
    <row r="286" spans="2:13" ht="15.75" x14ac:dyDescent="0.2">
      <c r="B286" s="253"/>
      <c r="C286" s="251"/>
      <c r="D286" s="184">
        <v>0</v>
      </c>
      <c r="E286" s="14">
        <v>0</v>
      </c>
      <c r="F286" s="14">
        <f t="shared" ref="F286" si="124">IF($D$2*D286&lt;=200,0.33,0.25)</f>
        <v>0.33</v>
      </c>
      <c r="G286" s="14">
        <f t="shared" ref="G286:G287" si="125">E286*F286</f>
        <v>0</v>
      </c>
      <c r="H286" s="15">
        <f t="shared" ref="H286:H287" si="126">IF(($D$2*D286)&gt;40,750,IF(AND(8&lt;=($D$2*D286),($D$2*D286)&lt;=40),850,1000))</f>
        <v>1000</v>
      </c>
      <c r="I286" s="15">
        <f t="shared" ref="I286:I287" si="127">(E286*F286*H286)</f>
        <v>0</v>
      </c>
      <c r="J286" s="22">
        <f>D286*I286</f>
        <v>0</v>
      </c>
      <c r="K286" s="186"/>
      <c r="L286" s="233"/>
      <c r="M286" s="286">
        <f>IFERROR((180/($D$2*D286)),0)</f>
        <v>0</v>
      </c>
    </row>
    <row r="287" spans="2:13" ht="16.5" thickBot="1" x14ac:dyDescent="0.25">
      <c r="B287" s="254"/>
      <c r="C287" s="16"/>
      <c r="D287" s="187">
        <v>0</v>
      </c>
      <c r="E287" s="17"/>
      <c r="F287" s="230">
        <f t="shared" ref="F287" si="128">IF($D$2*D286&lt;=200,0.017,0.0085)</f>
        <v>1.7000000000000001E-2</v>
      </c>
      <c r="G287" s="18">
        <f t="shared" si="125"/>
        <v>0</v>
      </c>
      <c r="H287" s="188">
        <f t="shared" si="126"/>
        <v>1000</v>
      </c>
      <c r="I287" s="188">
        <f t="shared" si="127"/>
        <v>0</v>
      </c>
      <c r="J287" s="23">
        <f>D287*I287</f>
        <v>0</v>
      </c>
      <c r="K287" s="189">
        <f t="shared" ref="K287" si="129">G286*D286+G287*D287</f>
        <v>0</v>
      </c>
      <c r="L287" s="234">
        <f t="shared" ref="L287" si="130">J286+J287</f>
        <v>0</v>
      </c>
      <c r="M287" s="287"/>
    </row>
    <row r="288" spans="2:13" hidden="1" outlineLevel="1" x14ac:dyDescent="0.2">
      <c r="B288" s="20"/>
      <c r="C288" s="20"/>
      <c r="D288" s="185"/>
      <c r="E288" s="20"/>
      <c r="F288" s="20"/>
      <c r="G288" s="20"/>
      <c r="H288" s="20"/>
      <c r="I288" s="20"/>
      <c r="J288" s="24"/>
      <c r="K288" s="30"/>
      <c r="L288" s="235"/>
      <c r="M288" s="26"/>
    </row>
    <row r="289" spans="2:13" hidden="1" outlineLevel="1" x14ac:dyDescent="0.2">
      <c r="B289" s="19"/>
      <c r="C289" s="20"/>
      <c r="D289" s="185"/>
      <c r="E289" s="19"/>
      <c r="F289" s="19"/>
      <c r="G289" s="19"/>
      <c r="H289" s="19"/>
      <c r="I289" s="19"/>
      <c r="J289" s="25"/>
      <c r="K289" s="26"/>
      <c r="L289" s="104"/>
      <c r="M289" s="26"/>
    </row>
    <row r="290" spans="2:13" hidden="1" outlineLevel="1" x14ac:dyDescent="0.2">
      <c r="B290" s="19"/>
      <c r="C290" s="20"/>
      <c r="D290" s="185"/>
      <c r="E290" s="19"/>
      <c r="F290" s="19"/>
      <c r="G290" s="19"/>
      <c r="H290" s="19"/>
      <c r="I290" s="19"/>
      <c r="J290" s="25"/>
      <c r="K290" s="26"/>
      <c r="L290" s="104"/>
      <c r="M290" s="26"/>
    </row>
    <row r="291" spans="2:13" hidden="1" outlineLevel="1" x14ac:dyDescent="0.2">
      <c r="B291" s="19"/>
      <c r="C291" s="20"/>
      <c r="D291" s="185"/>
      <c r="E291" s="19"/>
      <c r="F291" s="19"/>
      <c r="G291" s="19"/>
      <c r="H291" s="19"/>
      <c r="I291" s="19"/>
      <c r="J291" s="25"/>
      <c r="K291" s="26"/>
      <c r="L291" s="104"/>
      <c r="M291" s="26"/>
    </row>
    <row r="292" spans="2:13" hidden="1" outlineLevel="1" x14ac:dyDescent="0.2">
      <c r="B292" s="19"/>
      <c r="C292" s="20"/>
      <c r="D292" s="185"/>
      <c r="E292" s="19"/>
      <c r="F292" s="19"/>
      <c r="G292" s="19"/>
      <c r="H292" s="19"/>
      <c r="I292" s="19"/>
      <c r="J292" s="25"/>
      <c r="K292" s="26"/>
      <c r="L292" s="104"/>
      <c r="M292" s="26"/>
    </row>
    <row r="293" spans="2:13" ht="15.75" hidden="1" outlineLevel="1" thickBot="1" x14ac:dyDescent="0.25">
      <c r="B293" s="27"/>
      <c r="C293" s="20"/>
      <c r="D293" s="185"/>
      <c r="E293" s="27"/>
      <c r="F293" s="27"/>
      <c r="G293" s="27"/>
      <c r="H293" s="27"/>
      <c r="I293" s="27"/>
      <c r="J293" s="28"/>
      <c r="K293" s="29"/>
      <c r="L293" s="236"/>
      <c r="M293" s="26"/>
    </row>
    <row r="294" spans="2:13" ht="63.75" collapsed="1" x14ac:dyDescent="0.2">
      <c r="B294" s="252">
        <v>20</v>
      </c>
      <c r="C294" s="250"/>
      <c r="D294" s="11" t="s">
        <v>9</v>
      </c>
      <c r="E294" s="12" t="s">
        <v>5</v>
      </c>
      <c r="F294" s="11" t="s">
        <v>6</v>
      </c>
      <c r="G294" s="11" t="s">
        <v>7</v>
      </c>
      <c r="H294" s="11" t="s">
        <v>8</v>
      </c>
      <c r="I294" s="12" t="s">
        <v>19</v>
      </c>
      <c r="J294" s="21" t="s">
        <v>20</v>
      </c>
      <c r="K294" s="32" t="s">
        <v>179</v>
      </c>
      <c r="L294" s="237" t="s">
        <v>180</v>
      </c>
      <c r="M294" s="33" t="s">
        <v>276</v>
      </c>
    </row>
    <row r="295" spans="2:13" ht="15.75" x14ac:dyDescent="0.2">
      <c r="B295" s="253"/>
      <c r="C295" s="251"/>
      <c r="D295" s="184">
        <v>0</v>
      </c>
      <c r="E295" s="14">
        <v>0</v>
      </c>
      <c r="F295" s="14">
        <f t="shared" ref="F295" si="131">IF($D$2*D295&lt;=200,0.33,0.25)</f>
        <v>0.33</v>
      </c>
      <c r="G295" s="14">
        <f t="shared" ref="G295:G296" si="132">E295*F295</f>
        <v>0</v>
      </c>
      <c r="H295" s="15">
        <f t="shared" ref="H295:H296" si="133">IF(($D$2*D295)&gt;40,750,IF(AND(8&lt;=($D$2*D295),($D$2*D295)&lt;=40),850,1000))</f>
        <v>1000</v>
      </c>
      <c r="I295" s="15">
        <f t="shared" ref="I295:I296" si="134">(E295*F295*H295)</f>
        <v>0</v>
      </c>
      <c r="J295" s="22">
        <f>D295*I295</f>
        <v>0</v>
      </c>
      <c r="K295" s="186"/>
      <c r="L295" s="233"/>
      <c r="M295" s="286">
        <f>IFERROR((180/($D$2*D295)),0)</f>
        <v>0</v>
      </c>
    </row>
    <row r="296" spans="2:13" ht="16.5" thickBot="1" x14ac:dyDescent="0.25">
      <c r="B296" s="254"/>
      <c r="C296" s="16"/>
      <c r="D296" s="187">
        <v>0</v>
      </c>
      <c r="E296" s="17"/>
      <c r="F296" s="230">
        <f t="shared" ref="F296" si="135">IF($D$2*D295&lt;=200,0.017,0.0085)</f>
        <v>1.7000000000000001E-2</v>
      </c>
      <c r="G296" s="18">
        <f t="shared" si="132"/>
        <v>0</v>
      </c>
      <c r="H296" s="188">
        <f t="shared" si="133"/>
        <v>1000</v>
      </c>
      <c r="I296" s="188">
        <f t="shared" si="134"/>
        <v>0</v>
      </c>
      <c r="J296" s="23">
        <f>D296*I296</f>
        <v>0</v>
      </c>
      <c r="K296" s="189">
        <f t="shared" ref="K296" si="136">G295*D295+G296*D296</f>
        <v>0</v>
      </c>
      <c r="L296" s="234">
        <f t="shared" ref="L296" si="137">J295+J296</f>
        <v>0</v>
      </c>
      <c r="M296" s="287"/>
    </row>
    <row r="297" spans="2:13" hidden="1" outlineLevel="1" x14ac:dyDescent="0.2">
      <c r="B297" s="20"/>
      <c r="C297" s="20"/>
      <c r="D297" s="185"/>
      <c r="E297" s="20"/>
      <c r="F297" s="20"/>
      <c r="G297" s="20"/>
      <c r="H297" s="20"/>
      <c r="I297" s="20"/>
      <c r="J297" s="24"/>
      <c r="K297" s="30"/>
      <c r="L297" s="235"/>
      <c r="M297" s="26"/>
    </row>
    <row r="298" spans="2:13" hidden="1" outlineLevel="1" x14ac:dyDescent="0.2">
      <c r="B298" s="19"/>
      <c r="C298" s="20"/>
      <c r="D298" s="185"/>
      <c r="E298" s="19"/>
      <c r="F298" s="19"/>
      <c r="G298" s="19"/>
      <c r="H298" s="19"/>
      <c r="I298" s="19"/>
      <c r="J298" s="25"/>
      <c r="K298" s="26"/>
      <c r="L298" s="104"/>
      <c r="M298" s="26"/>
    </row>
    <row r="299" spans="2:13" hidden="1" outlineLevel="1" x14ac:dyDescent="0.2">
      <c r="B299" s="19"/>
      <c r="C299" s="20"/>
      <c r="D299" s="185"/>
      <c r="E299" s="19"/>
      <c r="F299" s="19"/>
      <c r="G299" s="19"/>
      <c r="H299" s="19"/>
      <c r="I299" s="19"/>
      <c r="J299" s="25"/>
      <c r="K299" s="26"/>
      <c r="L299" s="104"/>
      <c r="M299" s="26"/>
    </row>
    <row r="300" spans="2:13" hidden="1" outlineLevel="1" x14ac:dyDescent="0.2">
      <c r="B300" s="19"/>
      <c r="C300" s="20"/>
      <c r="D300" s="185"/>
      <c r="E300" s="19"/>
      <c r="F300" s="19"/>
      <c r="G300" s="19"/>
      <c r="H300" s="19"/>
      <c r="I300" s="19"/>
      <c r="J300" s="25"/>
      <c r="K300" s="26"/>
      <c r="L300" s="104"/>
      <c r="M300" s="26"/>
    </row>
    <row r="301" spans="2:13" hidden="1" outlineLevel="1" x14ac:dyDescent="0.2">
      <c r="B301" s="19"/>
      <c r="C301" s="20"/>
      <c r="D301" s="185"/>
      <c r="E301" s="19"/>
      <c r="F301" s="19"/>
      <c r="G301" s="19"/>
      <c r="H301" s="19"/>
      <c r="I301" s="19"/>
      <c r="J301" s="25"/>
      <c r="K301" s="26"/>
      <c r="L301" s="104"/>
      <c r="M301" s="26"/>
    </row>
    <row r="302" spans="2:13" ht="15.75" hidden="1" outlineLevel="1" thickBot="1" x14ac:dyDescent="0.25">
      <c r="B302" s="27"/>
      <c r="C302" s="20"/>
      <c r="D302" s="185"/>
      <c r="E302" s="27"/>
      <c r="F302" s="27"/>
      <c r="G302" s="27"/>
      <c r="H302" s="27"/>
      <c r="I302" s="27"/>
      <c r="J302" s="28"/>
      <c r="K302" s="29"/>
      <c r="L302" s="236"/>
      <c r="M302" s="26"/>
    </row>
    <row r="303" spans="2:13" ht="63.75" collapsed="1" x14ac:dyDescent="0.2">
      <c r="B303" s="252">
        <v>21</v>
      </c>
      <c r="C303" s="250"/>
      <c r="D303" s="11" t="s">
        <v>9</v>
      </c>
      <c r="E303" s="12" t="s">
        <v>5</v>
      </c>
      <c r="F303" s="11" t="s">
        <v>6</v>
      </c>
      <c r="G303" s="11" t="s">
        <v>7</v>
      </c>
      <c r="H303" s="11" t="s">
        <v>8</v>
      </c>
      <c r="I303" s="12" t="s">
        <v>19</v>
      </c>
      <c r="J303" s="21" t="s">
        <v>20</v>
      </c>
      <c r="K303" s="32" t="s">
        <v>179</v>
      </c>
      <c r="L303" s="237" t="s">
        <v>180</v>
      </c>
      <c r="M303" s="33" t="s">
        <v>276</v>
      </c>
    </row>
    <row r="304" spans="2:13" ht="15.75" x14ac:dyDescent="0.2">
      <c r="B304" s="253"/>
      <c r="C304" s="251"/>
      <c r="D304" s="184">
        <v>0</v>
      </c>
      <c r="E304" s="14">
        <v>0</v>
      </c>
      <c r="F304" s="14">
        <f t="shared" ref="F304" si="138">IF($D$2*D304&lt;=200,0.33,0.25)</f>
        <v>0.33</v>
      </c>
      <c r="G304" s="14">
        <f t="shared" ref="G304:G305" si="139">E304*F304</f>
        <v>0</v>
      </c>
      <c r="H304" s="15">
        <f t="shared" ref="H304:H305" si="140">IF(($D$2*D304)&gt;40,750,IF(AND(8&lt;=($D$2*D304),($D$2*D304)&lt;=40),850,1000))</f>
        <v>1000</v>
      </c>
      <c r="I304" s="15">
        <f t="shared" ref="I304:I305" si="141">(E304*F304*H304)</f>
        <v>0</v>
      </c>
      <c r="J304" s="22">
        <f>D304*I304</f>
        <v>0</v>
      </c>
      <c r="K304" s="186"/>
      <c r="L304" s="233"/>
      <c r="M304" s="286">
        <f>IFERROR((180/($D$2*D304)),0)</f>
        <v>0</v>
      </c>
    </row>
    <row r="305" spans="2:13" ht="16.5" thickBot="1" x14ac:dyDescent="0.25">
      <c r="B305" s="254"/>
      <c r="C305" s="16"/>
      <c r="D305" s="187">
        <v>0</v>
      </c>
      <c r="E305" s="17"/>
      <c r="F305" s="230">
        <f t="shared" ref="F305" si="142">IF($D$2*D304&lt;=200,0.017,0.0085)</f>
        <v>1.7000000000000001E-2</v>
      </c>
      <c r="G305" s="18">
        <f t="shared" si="139"/>
        <v>0</v>
      </c>
      <c r="H305" s="188">
        <f t="shared" si="140"/>
        <v>1000</v>
      </c>
      <c r="I305" s="188">
        <f t="shared" si="141"/>
        <v>0</v>
      </c>
      <c r="J305" s="23">
        <f>D305*I305</f>
        <v>0</v>
      </c>
      <c r="K305" s="189">
        <f t="shared" ref="K305" si="143">G304*D304+G305*D305</f>
        <v>0</v>
      </c>
      <c r="L305" s="234">
        <f t="shared" ref="L305" si="144">J304+J305</f>
        <v>0</v>
      </c>
      <c r="M305" s="287"/>
    </row>
    <row r="306" spans="2:13" hidden="1" outlineLevel="1" x14ac:dyDescent="0.2">
      <c r="B306" s="20"/>
      <c r="C306" s="20"/>
      <c r="D306" s="185"/>
      <c r="E306" s="20"/>
      <c r="F306" s="20"/>
      <c r="G306" s="20"/>
      <c r="H306" s="20"/>
      <c r="I306" s="20"/>
      <c r="J306" s="24"/>
      <c r="K306" s="30"/>
      <c r="L306" s="235"/>
      <c r="M306" s="26"/>
    </row>
    <row r="307" spans="2:13" hidden="1" outlineLevel="1" x14ac:dyDescent="0.2">
      <c r="B307" s="19"/>
      <c r="C307" s="20"/>
      <c r="D307" s="185"/>
      <c r="E307" s="19"/>
      <c r="F307" s="19"/>
      <c r="G307" s="19"/>
      <c r="H307" s="19"/>
      <c r="I307" s="19"/>
      <c r="J307" s="25"/>
      <c r="K307" s="26"/>
      <c r="L307" s="104"/>
      <c r="M307" s="26"/>
    </row>
    <row r="308" spans="2:13" hidden="1" outlineLevel="1" x14ac:dyDescent="0.2">
      <c r="B308" s="19"/>
      <c r="C308" s="20"/>
      <c r="D308" s="185"/>
      <c r="E308" s="19"/>
      <c r="F308" s="19"/>
      <c r="G308" s="19"/>
      <c r="H308" s="19"/>
      <c r="I308" s="19"/>
      <c r="J308" s="25"/>
      <c r="K308" s="26"/>
      <c r="L308" s="104"/>
      <c r="M308" s="26"/>
    </row>
    <row r="309" spans="2:13" hidden="1" outlineLevel="1" x14ac:dyDescent="0.2">
      <c r="B309" s="19"/>
      <c r="C309" s="20"/>
      <c r="D309" s="185"/>
      <c r="E309" s="19"/>
      <c r="F309" s="19"/>
      <c r="G309" s="19"/>
      <c r="H309" s="19"/>
      <c r="I309" s="19"/>
      <c r="J309" s="25"/>
      <c r="K309" s="26"/>
      <c r="L309" s="104"/>
      <c r="M309" s="26"/>
    </row>
    <row r="310" spans="2:13" hidden="1" outlineLevel="1" x14ac:dyDescent="0.2">
      <c r="B310" s="19"/>
      <c r="C310" s="20"/>
      <c r="D310" s="185"/>
      <c r="E310" s="19"/>
      <c r="F310" s="19"/>
      <c r="G310" s="19"/>
      <c r="H310" s="19"/>
      <c r="I310" s="19"/>
      <c r="J310" s="25"/>
      <c r="K310" s="26"/>
      <c r="L310" s="104"/>
      <c r="M310" s="26"/>
    </row>
    <row r="311" spans="2:13" ht="15.75" hidden="1" outlineLevel="1" thickBot="1" x14ac:dyDescent="0.25">
      <c r="B311" s="27"/>
      <c r="C311" s="20"/>
      <c r="D311" s="185"/>
      <c r="E311" s="27"/>
      <c r="F311" s="27"/>
      <c r="G311" s="27"/>
      <c r="H311" s="27"/>
      <c r="I311" s="27"/>
      <c r="J311" s="28"/>
      <c r="K311" s="29"/>
      <c r="L311" s="236"/>
      <c r="M311" s="26"/>
    </row>
    <row r="312" spans="2:13" ht="63.75" collapsed="1" x14ac:dyDescent="0.2">
      <c r="B312" s="252">
        <v>22</v>
      </c>
      <c r="C312" s="250"/>
      <c r="D312" s="11" t="s">
        <v>9</v>
      </c>
      <c r="E312" s="12" t="s">
        <v>5</v>
      </c>
      <c r="F312" s="11" t="s">
        <v>6</v>
      </c>
      <c r="G312" s="11" t="s">
        <v>7</v>
      </c>
      <c r="H312" s="11" t="s">
        <v>8</v>
      </c>
      <c r="I312" s="12" t="s">
        <v>19</v>
      </c>
      <c r="J312" s="21" t="s">
        <v>20</v>
      </c>
      <c r="K312" s="32" t="s">
        <v>179</v>
      </c>
      <c r="L312" s="237" t="s">
        <v>180</v>
      </c>
      <c r="M312" s="33" t="s">
        <v>276</v>
      </c>
    </row>
    <row r="313" spans="2:13" ht="15.75" x14ac:dyDescent="0.2">
      <c r="B313" s="253"/>
      <c r="C313" s="251"/>
      <c r="D313" s="184">
        <v>0</v>
      </c>
      <c r="E313" s="14">
        <v>0</v>
      </c>
      <c r="F313" s="14">
        <f t="shared" ref="F313" si="145">IF($D$2*D313&lt;=200,0.33,0.25)</f>
        <v>0.33</v>
      </c>
      <c r="G313" s="14">
        <f t="shared" ref="G313:G314" si="146">E313*F313</f>
        <v>0</v>
      </c>
      <c r="H313" s="15">
        <f t="shared" ref="H313:H314" si="147">IF(($D$2*D313)&gt;40,750,IF(AND(8&lt;=($D$2*D313),($D$2*D313)&lt;=40),850,1000))</f>
        <v>1000</v>
      </c>
      <c r="I313" s="15">
        <f t="shared" ref="I313:I314" si="148">(E313*F313*H313)</f>
        <v>0</v>
      </c>
      <c r="J313" s="22">
        <f>D313*I313</f>
        <v>0</v>
      </c>
      <c r="K313" s="186"/>
      <c r="L313" s="233"/>
      <c r="M313" s="286">
        <f>IFERROR((180/($D$2*D313)),0)</f>
        <v>0</v>
      </c>
    </row>
    <row r="314" spans="2:13" ht="16.5" thickBot="1" x14ac:dyDescent="0.25">
      <c r="B314" s="254"/>
      <c r="C314" s="16"/>
      <c r="D314" s="187">
        <v>0</v>
      </c>
      <c r="E314" s="17"/>
      <c r="F314" s="230">
        <f t="shared" ref="F314" si="149">IF($D$2*D313&lt;=200,0.017,0.0085)</f>
        <v>1.7000000000000001E-2</v>
      </c>
      <c r="G314" s="18">
        <f t="shared" si="146"/>
        <v>0</v>
      </c>
      <c r="H314" s="188">
        <f t="shared" si="147"/>
        <v>1000</v>
      </c>
      <c r="I314" s="188">
        <f t="shared" si="148"/>
        <v>0</v>
      </c>
      <c r="J314" s="23">
        <f>D314*I314</f>
        <v>0</v>
      </c>
      <c r="K314" s="189">
        <f t="shared" ref="K314" si="150">G313*D313+G314*D314</f>
        <v>0</v>
      </c>
      <c r="L314" s="234">
        <f t="shared" ref="L314" si="151">J313+J314</f>
        <v>0</v>
      </c>
      <c r="M314" s="287"/>
    </row>
    <row r="315" spans="2:13" hidden="1" outlineLevel="1" x14ac:dyDescent="0.2">
      <c r="B315" s="20"/>
      <c r="C315" s="20"/>
      <c r="D315" s="185"/>
      <c r="E315" s="20"/>
      <c r="F315" s="20"/>
      <c r="G315" s="20"/>
      <c r="H315" s="20"/>
      <c r="I315" s="20"/>
      <c r="J315" s="24"/>
      <c r="K315" s="30"/>
      <c r="L315" s="235"/>
      <c r="M315" s="26"/>
    </row>
    <row r="316" spans="2:13" hidden="1" outlineLevel="1" x14ac:dyDescent="0.2">
      <c r="B316" s="19"/>
      <c r="C316" s="20"/>
      <c r="D316" s="185"/>
      <c r="E316" s="19"/>
      <c r="F316" s="19"/>
      <c r="G316" s="19"/>
      <c r="H316" s="19"/>
      <c r="I316" s="19"/>
      <c r="J316" s="25"/>
      <c r="K316" s="26"/>
      <c r="L316" s="104"/>
      <c r="M316" s="26"/>
    </row>
    <row r="317" spans="2:13" hidden="1" outlineLevel="1" x14ac:dyDescent="0.2">
      <c r="B317" s="19"/>
      <c r="C317" s="20"/>
      <c r="D317" s="185"/>
      <c r="E317" s="19"/>
      <c r="F317" s="19"/>
      <c r="G317" s="19"/>
      <c r="H317" s="19"/>
      <c r="I317" s="19"/>
      <c r="J317" s="25"/>
      <c r="K317" s="26"/>
      <c r="L317" s="104"/>
      <c r="M317" s="26"/>
    </row>
    <row r="318" spans="2:13" hidden="1" outlineLevel="1" x14ac:dyDescent="0.2">
      <c r="B318" s="19"/>
      <c r="C318" s="20"/>
      <c r="D318" s="185"/>
      <c r="E318" s="19"/>
      <c r="F318" s="19"/>
      <c r="G318" s="19"/>
      <c r="H318" s="19"/>
      <c r="I318" s="19"/>
      <c r="J318" s="25"/>
      <c r="K318" s="26"/>
      <c r="L318" s="104"/>
      <c r="M318" s="26"/>
    </row>
    <row r="319" spans="2:13" hidden="1" outlineLevel="1" x14ac:dyDescent="0.2">
      <c r="B319" s="19"/>
      <c r="C319" s="20"/>
      <c r="D319" s="185"/>
      <c r="E319" s="19"/>
      <c r="F319" s="19"/>
      <c r="G319" s="19"/>
      <c r="H319" s="19"/>
      <c r="I319" s="19"/>
      <c r="J319" s="25"/>
      <c r="K319" s="26"/>
      <c r="L319" s="104"/>
      <c r="M319" s="26"/>
    </row>
    <row r="320" spans="2:13" ht="15.75" hidden="1" outlineLevel="1" thickBot="1" x14ac:dyDescent="0.25">
      <c r="B320" s="27"/>
      <c r="C320" s="20"/>
      <c r="D320" s="185"/>
      <c r="E320" s="27"/>
      <c r="F320" s="27"/>
      <c r="G320" s="27"/>
      <c r="H320" s="27"/>
      <c r="I320" s="27"/>
      <c r="J320" s="28"/>
      <c r="K320" s="29"/>
      <c r="L320" s="236"/>
      <c r="M320" s="26"/>
    </row>
    <row r="321" spans="2:13" ht="63.75" collapsed="1" x14ac:dyDescent="0.2">
      <c r="B321" s="252">
        <v>23</v>
      </c>
      <c r="C321" s="250"/>
      <c r="D321" s="11" t="s">
        <v>9</v>
      </c>
      <c r="E321" s="12" t="s">
        <v>5</v>
      </c>
      <c r="F321" s="11" t="s">
        <v>6</v>
      </c>
      <c r="G321" s="11" t="s">
        <v>7</v>
      </c>
      <c r="H321" s="11" t="s">
        <v>8</v>
      </c>
      <c r="I321" s="12" t="s">
        <v>19</v>
      </c>
      <c r="J321" s="21" t="s">
        <v>20</v>
      </c>
      <c r="K321" s="32" t="s">
        <v>179</v>
      </c>
      <c r="L321" s="237" t="s">
        <v>180</v>
      </c>
      <c r="M321" s="33" t="s">
        <v>276</v>
      </c>
    </row>
    <row r="322" spans="2:13" ht="15.75" x14ac:dyDescent="0.2">
      <c r="B322" s="253"/>
      <c r="C322" s="251"/>
      <c r="D322" s="184">
        <v>0</v>
      </c>
      <c r="E322" s="14">
        <v>0</v>
      </c>
      <c r="F322" s="14">
        <f t="shared" ref="F322" si="152">IF($D$2*D322&lt;=200,0.33,0.25)</f>
        <v>0.33</v>
      </c>
      <c r="G322" s="14">
        <f t="shared" ref="G322:G323" si="153">E322*F322</f>
        <v>0</v>
      </c>
      <c r="H322" s="15">
        <f t="shared" ref="H322:H323" si="154">IF(($D$2*D322)&gt;40,750,IF(AND(8&lt;=($D$2*D322),($D$2*D322)&lt;=40),850,1000))</f>
        <v>1000</v>
      </c>
      <c r="I322" s="15">
        <f t="shared" ref="I322:I323" si="155">(E322*F322*H322)</f>
        <v>0</v>
      </c>
      <c r="J322" s="22">
        <f>D322*I322</f>
        <v>0</v>
      </c>
      <c r="K322" s="186"/>
      <c r="L322" s="233"/>
      <c r="M322" s="286">
        <f>IFERROR((180/($D$2*D322)),0)</f>
        <v>0</v>
      </c>
    </row>
    <row r="323" spans="2:13" ht="16.5" thickBot="1" x14ac:dyDescent="0.25">
      <c r="B323" s="254"/>
      <c r="C323" s="16"/>
      <c r="D323" s="187">
        <v>0</v>
      </c>
      <c r="E323" s="17"/>
      <c r="F323" s="230">
        <f t="shared" ref="F323" si="156">IF($D$2*D322&lt;=200,0.017,0.0085)</f>
        <v>1.7000000000000001E-2</v>
      </c>
      <c r="G323" s="18">
        <f t="shared" si="153"/>
        <v>0</v>
      </c>
      <c r="H323" s="188">
        <f t="shared" si="154"/>
        <v>1000</v>
      </c>
      <c r="I323" s="188">
        <f t="shared" si="155"/>
        <v>0</v>
      </c>
      <c r="J323" s="23">
        <f>D323*I323</f>
        <v>0</v>
      </c>
      <c r="K323" s="189">
        <f t="shared" ref="K323" si="157">G322*D322+G323*D323</f>
        <v>0</v>
      </c>
      <c r="L323" s="234">
        <f t="shared" ref="L323" si="158">J322+J323</f>
        <v>0</v>
      </c>
      <c r="M323" s="287"/>
    </row>
    <row r="324" spans="2:13" hidden="1" outlineLevel="1" x14ac:dyDescent="0.2">
      <c r="B324" s="20"/>
      <c r="C324" s="20"/>
      <c r="D324" s="185"/>
      <c r="E324" s="20"/>
      <c r="F324" s="20"/>
      <c r="G324" s="20"/>
      <c r="H324" s="20"/>
      <c r="I324" s="20"/>
      <c r="J324" s="24"/>
      <c r="K324" s="30"/>
      <c r="L324" s="235"/>
      <c r="M324" s="26"/>
    </row>
    <row r="325" spans="2:13" hidden="1" outlineLevel="1" x14ac:dyDescent="0.2">
      <c r="B325" s="19"/>
      <c r="C325" s="20"/>
      <c r="D325" s="185"/>
      <c r="E325" s="19"/>
      <c r="F325" s="19"/>
      <c r="G325" s="19"/>
      <c r="H325" s="19"/>
      <c r="I325" s="19"/>
      <c r="J325" s="25"/>
      <c r="K325" s="26"/>
      <c r="L325" s="104"/>
      <c r="M325" s="26"/>
    </row>
    <row r="326" spans="2:13" hidden="1" outlineLevel="1" x14ac:dyDescent="0.2">
      <c r="B326" s="19"/>
      <c r="C326" s="20"/>
      <c r="D326" s="185"/>
      <c r="E326" s="19"/>
      <c r="F326" s="19"/>
      <c r="G326" s="19"/>
      <c r="H326" s="19"/>
      <c r="I326" s="19"/>
      <c r="J326" s="25"/>
      <c r="K326" s="26"/>
      <c r="L326" s="104"/>
      <c r="M326" s="26"/>
    </row>
    <row r="327" spans="2:13" hidden="1" outlineLevel="1" x14ac:dyDescent="0.2">
      <c r="B327" s="19"/>
      <c r="C327" s="20"/>
      <c r="D327" s="185"/>
      <c r="E327" s="19"/>
      <c r="F327" s="19"/>
      <c r="G327" s="19"/>
      <c r="H327" s="19"/>
      <c r="I327" s="19"/>
      <c r="J327" s="25"/>
      <c r="K327" s="26"/>
      <c r="L327" s="104"/>
      <c r="M327" s="26"/>
    </row>
    <row r="328" spans="2:13" hidden="1" outlineLevel="1" x14ac:dyDescent="0.2">
      <c r="B328" s="19"/>
      <c r="C328" s="20"/>
      <c r="D328" s="185"/>
      <c r="E328" s="19"/>
      <c r="F328" s="19"/>
      <c r="G328" s="19"/>
      <c r="H328" s="19"/>
      <c r="I328" s="19"/>
      <c r="J328" s="25"/>
      <c r="K328" s="26"/>
      <c r="L328" s="104"/>
      <c r="M328" s="26"/>
    </row>
    <row r="329" spans="2:13" ht="15.75" hidden="1" outlineLevel="1" thickBot="1" x14ac:dyDescent="0.25">
      <c r="B329" s="27"/>
      <c r="C329" s="20"/>
      <c r="D329" s="185"/>
      <c r="E329" s="27"/>
      <c r="F329" s="27"/>
      <c r="G329" s="27"/>
      <c r="H329" s="27"/>
      <c r="I329" s="27"/>
      <c r="J329" s="28"/>
      <c r="K329" s="29"/>
      <c r="L329" s="236"/>
      <c r="M329" s="26"/>
    </row>
    <row r="330" spans="2:13" ht="63.75" collapsed="1" x14ac:dyDescent="0.2">
      <c r="B330" s="252">
        <v>24</v>
      </c>
      <c r="C330" s="250"/>
      <c r="D330" s="11" t="s">
        <v>9</v>
      </c>
      <c r="E330" s="12" t="s">
        <v>5</v>
      </c>
      <c r="F330" s="11" t="s">
        <v>6</v>
      </c>
      <c r="G330" s="11" t="s">
        <v>7</v>
      </c>
      <c r="H330" s="11" t="s">
        <v>8</v>
      </c>
      <c r="I330" s="12" t="s">
        <v>19</v>
      </c>
      <c r="J330" s="21" t="s">
        <v>20</v>
      </c>
      <c r="K330" s="32" t="s">
        <v>179</v>
      </c>
      <c r="L330" s="237" t="s">
        <v>180</v>
      </c>
      <c r="M330" s="33" t="s">
        <v>276</v>
      </c>
    </row>
    <row r="331" spans="2:13" ht="15.75" x14ac:dyDescent="0.2">
      <c r="B331" s="253"/>
      <c r="C331" s="251"/>
      <c r="D331" s="184">
        <v>0</v>
      </c>
      <c r="E331" s="14">
        <v>0</v>
      </c>
      <c r="F331" s="14">
        <f t="shared" ref="F331" si="159">IF($D$2*D331&lt;=200,0.33,0.25)</f>
        <v>0.33</v>
      </c>
      <c r="G331" s="14">
        <f t="shared" ref="G331:G332" si="160">E331*F331</f>
        <v>0</v>
      </c>
      <c r="H331" s="15">
        <f t="shared" ref="H331:H332" si="161">IF(($D$2*D331)&gt;40,750,IF(AND(8&lt;=($D$2*D331),($D$2*D331)&lt;=40),850,1000))</f>
        <v>1000</v>
      </c>
      <c r="I331" s="15">
        <f t="shared" ref="I331:I332" si="162">(E331*F331*H331)</f>
        <v>0</v>
      </c>
      <c r="J331" s="22">
        <f>D331*I331</f>
        <v>0</v>
      </c>
      <c r="K331" s="186"/>
      <c r="L331" s="233"/>
      <c r="M331" s="286">
        <f>IFERROR((180/($D$2*D331)),0)</f>
        <v>0</v>
      </c>
    </row>
    <row r="332" spans="2:13" ht="16.5" thickBot="1" x14ac:dyDescent="0.25">
      <c r="B332" s="254"/>
      <c r="C332" s="16"/>
      <c r="D332" s="187">
        <v>0</v>
      </c>
      <c r="E332" s="17"/>
      <c r="F332" s="230">
        <f t="shared" ref="F332" si="163">IF($D$2*D331&lt;=200,0.017,0.0085)</f>
        <v>1.7000000000000001E-2</v>
      </c>
      <c r="G332" s="18">
        <f t="shared" si="160"/>
        <v>0</v>
      </c>
      <c r="H332" s="188">
        <f t="shared" si="161"/>
        <v>1000</v>
      </c>
      <c r="I332" s="188">
        <f t="shared" si="162"/>
        <v>0</v>
      </c>
      <c r="J332" s="23">
        <f>D332*I332</f>
        <v>0</v>
      </c>
      <c r="K332" s="189">
        <f t="shared" ref="K332" si="164">G331*D331+G332*D332</f>
        <v>0</v>
      </c>
      <c r="L332" s="234">
        <f t="shared" ref="L332" si="165">J331+J332</f>
        <v>0</v>
      </c>
      <c r="M332" s="287"/>
    </row>
    <row r="333" spans="2:13" hidden="1" outlineLevel="1" x14ac:dyDescent="0.2">
      <c r="B333" s="20"/>
      <c r="C333" s="20"/>
      <c r="D333" s="185"/>
      <c r="E333" s="20"/>
      <c r="F333" s="20"/>
      <c r="G333" s="20"/>
      <c r="H333" s="20"/>
      <c r="I333" s="20"/>
      <c r="J333" s="24"/>
      <c r="K333" s="30"/>
      <c r="L333" s="235"/>
      <c r="M333" s="26"/>
    </row>
    <row r="334" spans="2:13" hidden="1" outlineLevel="1" x14ac:dyDescent="0.2">
      <c r="B334" s="19"/>
      <c r="C334" s="20"/>
      <c r="D334" s="185"/>
      <c r="E334" s="19"/>
      <c r="F334" s="19"/>
      <c r="G334" s="19"/>
      <c r="H334" s="19"/>
      <c r="I334" s="19"/>
      <c r="J334" s="25"/>
      <c r="K334" s="26"/>
      <c r="L334" s="104"/>
      <c r="M334" s="26"/>
    </row>
    <row r="335" spans="2:13" hidden="1" outlineLevel="1" x14ac:dyDescent="0.2">
      <c r="B335" s="19"/>
      <c r="C335" s="20"/>
      <c r="D335" s="185"/>
      <c r="E335" s="19"/>
      <c r="F335" s="19"/>
      <c r="G335" s="19"/>
      <c r="H335" s="19"/>
      <c r="I335" s="19"/>
      <c r="J335" s="25"/>
      <c r="K335" s="26"/>
      <c r="L335" s="104"/>
      <c r="M335" s="26"/>
    </row>
    <row r="336" spans="2:13" hidden="1" outlineLevel="1" x14ac:dyDescent="0.2">
      <c r="B336" s="19"/>
      <c r="C336" s="20"/>
      <c r="D336" s="185"/>
      <c r="E336" s="19"/>
      <c r="F336" s="19"/>
      <c r="G336" s="19"/>
      <c r="H336" s="19"/>
      <c r="I336" s="19"/>
      <c r="J336" s="25"/>
      <c r="K336" s="26"/>
      <c r="L336" s="104"/>
      <c r="M336" s="26"/>
    </row>
    <row r="337" spans="2:13" hidden="1" outlineLevel="1" x14ac:dyDescent="0.2">
      <c r="B337" s="19"/>
      <c r="C337" s="20"/>
      <c r="D337" s="185"/>
      <c r="E337" s="19"/>
      <c r="F337" s="19"/>
      <c r="G337" s="19"/>
      <c r="H337" s="19"/>
      <c r="I337" s="19"/>
      <c r="J337" s="25"/>
      <c r="K337" s="26"/>
      <c r="L337" s="104"/>
      <c r="M337" s="26"/>
    </row>
    <row r="338" spans="2:13" ht="15.75" hidden="1" outlineLevel="1" thickBot="1" x14ac:dyDescent="0.25">
      <c r="B338" s="27"/>
      <c r="C338" s="20"/>
      <c r="D338" s="185"/>
      <c r="E338" s="27"/>
      <c r="F338" s="27"/>
      <c r="G338" s="27"/>
      <c r="H338" s="27"/>
      <c r="I338" s="27"/>
      <c r="J338" s="28"/>
      <c r="K338" s="29"/>
      <c r="L338" s="236"/>
      <c r="M338" s="26"/>
    </row>
    <row r="339" spans="2:13" ht="63.75" collapsed="1" x14ac:dyDescent="0.2">
      <c r="B339" s="252">
        <v>25</v>
      </c>
      <c r="C339" s="250"/>
      <c r="D339" s="11" t="s">
        <v>9</v>
      </c>
      <c r="E339" s="12" t="s">
        <v>5</v>
      </c>
      <c r="F339" s="11" t="s">
        <v>6</v>
      </c>
      <c r="G339" s="11" t="s">
        <v>7</v>
      </c>
      <c r="H339" s="11" t="s">
        <v>8</v>
      </c>
      <c r="I339" s="12" t="s">
        <v>19</v>
      </c>
      <c r="J339" s="21" t="s">
        <v>20</v>
      </c>
      <c r="K339" s="32" t="s">
        <v>179</v>
      </c>
      <c r="L339" s="237" t="s">
        <v>180</v>
      </c>
      <c r="M339" s="33" t="s">
        <v>276</v>
      </c>
    </row>
    <row r="340" spans="2:13" ht="15.75" x14ac:dyDescent="0.2">
      <c r="B340" s="253"/>
      <c r="C340" s="251"/>
      <c r="D340" s="184">
        <v>0</v>
      </c>
      <c r="E340" s="14">
        <v>0</v>
      </c>
      <c r="F340" s="14">
        <f t="shared" ref="F340" si="166">IF($D$2*D340&lt;=200,0.33,0.25)</f>
        <v>0.33</v>
      </c>
      <c r="G340" s="14">
        <f t="shared" ref="G340:G341" si="167">E340*F340</f>
        <v>0</v>
      </c>
      <c r="H340" s="15">
        <f t="shared" ref="H340:H341" si="168">IF(($D$2*D340)&gt;40,750,IF(AND(8&lt;=($D$2*D340),($D$2*D340)&lt;=40),850,1000))</f>
        <v>1000</v>
      </c>
      <c r="I340" s="15">
        <f t="shared" ref="I340:I341" si="169">(E340*F340*H340)</f>
        <v>0</v>
      </c>
      <c r="J340" s="22">
        <f>D340*I340</f>
        <v>0</v>
      </c>
      <c r="K340" s="186"/>
      <c r="L340" s="233"/>
      <c r="M340" s="286">
        <f>IFERROR((180/($D$2*D340)),0)</f>
        <v>0</v>
      </c>
    </row>
    <row r="341" spans="2:13" ht="16.5" thickBot="1" x14ac:dyDescent="0.25">
      <c r="B341" s="254"/>
      <c r="C341" s="16"/>
      <c r="D341" s="187">
        <v>0</v>
      </c>
      <c r="E341" s="17"/>
      <c r="F341" s="230">
        <f t="shared" ref="F341" si="170">IF($D$2*D340&lt;=200,0.017,0.0085)</f>
        <v>1.7000000000000001E-2</v>
      </c>
      <c r="G341" s="18">
        <f t="shared" si="167"/>
        <v>0</v>
      </c>
      <c r="H341" s="188">
        <f t="shared" si="168"/>
        <v>1000</v>
      </c>
      <c r="I341" s="188">
        <f t="shared" si="169"/>
        <v>0</v>
      </c>
      <c r="J341" s="23">
        <f>D341*I341</f>
        <v>0</v>
      </c>
      <c r="K341" s="189">
        <f t="shared" ref="K341" si="171">G340*D340+G341*D341</f>
        <v>0</v>
      </c>
      <c r="L341" s="234">
        <f t="shared" ref="L341" si="172">J340+J341</f>
        <v>0</v>
      </c>
      <c r="M341" s="287"/>
    </row>
    <row r="342" spans="2:13" hidden="1" outlineLevel="1" x14ac:dyDescent="0.2">
      <c r="B342" s="20"/>
      <c r="C342" s="20"/>
      <c r="D342" s="185"/>
      <c r="E342" s="20"/>
      <c r="F342" s="20"/>
      <c r="G342" s="20"/>
      <c r="H342" s="20"/>
      <c r="I342" s="20"/>
      <c r="J342" s="24"/>
      <c r="K342" s="30"/>
      <c r="L342" s="235"/>
      <c r="M342" s="26"/>
    </row>
    <row r="343" spans="2:13" hidden="1" outlineLevel="1" x14ac:dyDescent="0.2">
      <c r="B343" s="19"/>
      <c r="C343" s="20"/>
      <c r="D343" s="185"/>
      <c r="E343" s="19"/>
      <c r="F343" s="19"/>
      <c r="G343" s="19"/>
      <c r="H343" s="19"/>
      <c r="I343" s="19"/>
      <c r="J343" s="25"/>
      <c r="K343" s="26"/>
      <c r="L343" s="104"/>
      <c r="M343" s="26"/>
    </row>
    <row r="344" spans="2:13" hidden="1" outlineLevel="1" x14ac:dyDescent="0.2">
      <c r="B344" s="19"/>
      <c r="C344" s="20"/>
      <c r="D344" s="185"/>
      <c r="E344" s="19"/>
      <c r="F344" s="19"/>
      <c r="G344" s="19"/>
      <c r="H344" s="19"/>
      <c r="I344" s="19"/>
      <c r="J344" s="25"/>
      <c r="K344" s="26"/>
      <c r="L344" s="104"/>
      <c r="M344" s="26"/>
    </row>
    <row r="345" spans="2:13" hidden="1" outlineLevel="1" x14ac:dyDescent="0.2">
      <c r="B345" s="19"/>
      <c r="C345" s="20"/>
      <c r="D345" s="185"/>
      <c r="E345" s="19"/>
      <c r="F345" s="19"/>
      <c r="G345" s="19"/>
      <c r="H345" s="19"/>
      <c r="I345" s="19"/>
      <c r="J345" s="25"/>
      <c r="K345" s="26"/>
      <c r="L345" s="104"/>
      <c r="M345" s="26"/>
    </row>
    <row r="346" spans="2:13" hidden="1" outlineLevel="1" x14ac:dyDescent="0.2">
      <c r="B346" s="19"/>
      <c r="C346" s="20"/>
      <c r="D346" s="185"/>
      <c r="E346" s="19"/>
      <c r="F346" s="19"/>
      <c r="G346" s="19"/>
      <c r="H346" s="19"/>
      <c r="I346" s="19"/>
      <c r="J346" s="25"/>
      <c r="K346" s="26"/>
      <c r="L346" s="104"/>
      <c r="M346" s="26"/>
    </row>
    <row r="347" spans="2:13" ht="15.75" hidden="1" outlineLevel="1" thickBot="1" x14ac:dyDescent="0.25">
      <c r="B347" s="27"/>
      <c r="C347" s="20"/>
      <c r="D347" s="185"/>
      <c r="E347" s="27"/>
      <c r="F347" s="27"/>
      <c r="G347" s="27"/>
      <c r="H347" s="27"/>
      <c r="I347" s="27"/>
      <c r="J347" s="28"/>
      <c r="K347" s="29"/>
      <c r="L347" s="236"/>
      <c r="M347" s="26"/>
    </row>
    <row r="348" spans="2:13" ht="63.75" collapsed="1" x14ac:dyDescent="0.2">
      <c r="B348" s="252">
        <v>26</v>
      </c>
      <c r="C348" s="250"/>
      <c r="D348" s="11" t="s">
        <v>9</v>
      </c>
      <c r="E348" s="12" t="s">
        <v>5</v>
      </c>
      <c r="F348" s="11" t="s">
        <v>6</v>
      </c>
      <c r="G348" s="11" t="s">
        <v>7</v>
      </c>
      <c r="H348" s="11" t="s">
        <v>8</v>
      </c>
      <c r="I348" s="12" t="s">
        <v>19</v>
      </c>
      <c r="J348" s="21" t="s">
        <v>20</v>
      </c>
      <c r="K348" s="32" t="s">
        <v>179</v>
      </c>
      <c r="L348" s="237" t="s">
        <v>180</v>
      </c>
      <c r="M348" s="33" t="s">
        <v>276</v>
      </c>
    </row>
    <row r="349" spans="2:13" ht="15.75" x14ac:dyDescent="0.2">
      <c r="B349" s="253"/>
      <c r="C349" s="251"/>
      <c r="D349" s="184">
        <v>0</v>
      </c>
      <c r="E349" s="14">
        <v>0</v>
      </c>
      <c r="F349" s="14">
        <f t="shared" ref="F349" si="173">IF($D$2*D349&lt;=200,0.33,0.25)</f>
        <v>0.33</v>
      </c>
      <c r="G349" s="14">
        <f t="shared" ref="G349:G350" si="174">E349*F349</f>
        <v>0</v>
      </c>
      <c r="H349" s="15">
        <f t="shared" ref="H349:H350" si="175">IF(($D$2*D349)&gt;40,750,IF(AND(8&lt;=($D$2*D349),($D$2*D349)&lt;=40),850,1000))</f>
        <v>1000</v>
      </c>
      <c r="I349" s="15">
        <f t="shared" ref="I349:I350" si="176">(E349*F349*H349)</f>
        <v>0</v>
      </c>
      <c r="J349" s="22">
        <f>D349*I349</f>
        <v>0</v>
      </c>
      <c r="K349" s="186"/>
      <c r="L349" s="233"/>
      <c r="M349" s="286">
        <f>IFERROR((180/($D$2*D349)),0)</f>
        <v>0</v>
      </c>
    </row>
    <row r="350" spans="2:13" ht="16.5" thickBot="1" x14ac:dyDescent="0.25">
      <c r="B350" s="254"/>
      <c r="C350" s="16"/>
      <c r="D350" s="187">
        <v>0</v>
      </c>
      <c r="E350" s="17"/>
      <c r="F350" s="230">
        <f t="shared" ref="F350" si="177">IF($D$2*D349&lt;=200,0.017,0.0085)</f>
        <v>1.7000000000000001E-2</v>
      </c>
      <c r="G350" s="18">
        <f t="shared" si="174"/>
        <v>0</v>
      </c>
      <c r="H350" s="188">
        <f t="shared" si="175"/>
        <v>1000</v>
      </c>
      <c r="I350" s="188">
        <f t="shared" si="176"/>
        <v>0</v>
      </c>
      <c r="J350" s="23">
        <f>D350*I350</f>
        <v>0</v>
      </c>
      <c r="K350" s="189">
        <f t="shared" ref="K350" si="178">G349*D349+G350*D350</f>
        <v>0</v>
      </c>
      <c r="L350" s="234">
        <f t="shared" ref="L350" si="179">J349+J350</f>
        <v>0</v>
      </c>
      <c r="M350" s="287"/>
    </row>
    <row r="351" spans="2:13" hidden="1" outlineLevel="1" x14ac:dyDescent="0.2">
      <c r="B351" s="20"/>
      <c r="C351" s="20"/>
      <c r="D351" s="185"/>
      <c r="E351" s="20"/>
      <c r="F351" s="20"/>
      <c r="G351" s="20"/>
      <c r="H351" s="20"/>
      <c r="I351" s="20"/>
      <c r="J351" s="24"/>
      <c r="K351" s="30"/>
      <c r="L351" s="235"/>
      <c r="M351" s="26"/>
    </row>
    <row r="352" spans="2:13" hidden="1" outlineLevel="1" x14ac:dyDescent="0.2">
      <c r="B352" s="19"/>
      <c r="C352" s="20"/>
      <c r="D352" s="185"/>
      <c r="E352" s="19"/>
      <c r="F352" s="19"/>
      <c r="G352" s="19"/>
      <c r="H352" s="19"/>
      <c r="I352" s="19"/>
      <c r="J352" s="25"/>
      <c r="K352" s="26"/>
      <c r="L352" s="104"/>
      <c r="M352" s="26"/>
    </row>
    <row r="353" spans="2:13" hidden="1" outlineLevel="1" x14ac:dyDescent="0.2">
      <c r="B353" s="19"/>
      <c r="C353" s="20"/>
      <c r="D353" s="185"/>
      <c r="E353" s="19"/>
      <c r="F353" s="19"/>
      <c r="G353" s="19"/>
      <c r="H353" s="19"/>
      <c r="I353" s="19"/>
      <c r="J353" s="25"/>
      <c r="K353" s="26"/>
      <c r="L353" s="104"/>
      <c r="M353" s="26"/>
    </row>
    <row r="354" spans="2:13" hidden="1" outlineLevel="1" x14ac:dyDescent="0.2">
      <c r="B354" s="19"/>
      <c r="C354" s="20"/>
      <c r="D354" s="185"/>
      <c r="E354" s="19"/>
      <c r="F354" s="19"/>
      <c r="G354" s="19"/>
      <c r="H354" s="19"/>
      <c r="I354" s="19"/>
      <c r="J354" s="25"/>
      <c r="K354" s="26"/>
      <c r="L354" s="104"/>
      <c r="M354" s="26"/>
    </row>
    <row r="355" spans="2:13" hidden="1" outlineLevel="1" x14ac:dyDescent="0.2">
      <c r="B355" s="19"/>
      <c r="C355" s="20"/>
      <c r="D355" s="185"/>
      <c r="E355" s="19"/>
      <c r="F355" s="19"/>
      <c r="G355" s="19"/>
      <c r="H355" s="19"/>
      <c r="I355" s="19"/>
      <c r="J355" s="25"/>
      <c r="K355" s="26"/>
      <c r="L355" s="104"/>
      <c r="M355" s="26"/>
    </row>
    <row r="356" spans="2:13" ht="15.75" hidden="1" outlineLevel="1" thickBot="1" x14ac:dyDescent="0.25">
      <c r="B356" s="27"/>
      <c r="C356" s="20"/>
      <c r="D356" s="185"/>
      <c r="E356" s="27"/>
      <c r="F356" s="27"/>
      <c r="G356" s="27"/>
      <c r="H356" s="27"/>
      <c r="I356" s="27"/>
      <c r="J356" s="28"/>
      <c r="K356" s="29"/>
      <c r="L356" s="236"/>
      <c r="M356" s="26"/>
    </row>
    <row r="357" spans="2:13" ht="63.75" collapsed="1" x14ac:dyDescent="0.2">
      <c r="B357" s="252">
        <v>27</v>
      </c>
      <c r="C357" s="250"/>
      <c r="D357" s="11" t="s">
        <v>9</v>
      </c>
      <c r="E357" s="12" t="s">
        <v>5</v>
      </c>
      <c r="F357" s="11" t="s">
        <v>6</v>
      </c>
      <c r="G357" s="11" t="s">
        <v>7</v>
      </c>
      <c r="H357" s="11" t="s">
        <v>8</v>
      </c>
      <c r="I357" s="12" t="s">
        <v>19</v>
      </c>
      <c r="J357" s="21" t="s">
        <v>20</v>
      </c>
      <c r="K357" s="32" t="s">
        <v>179</v>
      </c>
      <c r="L357" s="237" t="s">
        <v>180</v>
      </c>
      <c r="M357" s="33" t="s">
        <v>276</v>
      </c>
    </row>
    <row r="358" spans="2:13" ht="15.75" x14ac:dyDescent="0.2">
      <c r="B358" s="253"/>
      <c r="C358" s="251"/>
      <c r="D358" s="184">
        <v>0</v>
      </c>
      <c r="E358" s="14">
        <v>0</v>
      </c>
      <c r="F358" s="14">
        <f t="shared" ref="F358" si="180">IF($D$2*D358&lt;=200,0.33,0.25)</f>
        <v>0.33</v>
      </c>
      <c r="G358" s="14">
        <f t="shared" ref="G358:G359" si="181">E358*F358</f>
        <v>0</v>
      </c>
      <c r="H358" s="15">
        <f t="shared" ref="H358:H359" si="182">IF(($D$2*D358)&gt;40,750,IF(AND(8&lt;=($D$2*D358),($D$2*D358)&lt;=40),850,1000))</f>
        <v>1000</v>
      </c>
      <c r="I358" s="15">
        <f t="shared" ref="I358:I359" si="183">(E358*F358*H358)</f>
        <v>0</v>
      </c>
      <c r="J358" s="22">
        <f>D358*I358</f>
        <v>0</v>
      </c>
      <c r="K358" s="186"/>
      <c r="L358" s="233"/>
      <c r="M358" s="286">
        <f>IFERROR((180/($D$2*D358)),0)</f>
        <v>0</v>
      </c>
    </row>
    <row r="359" spans="2:13" ht="16.5" thickBot="1" x14ac:dyDescent="0.25">
      <c r="B359" s="254"/>
      <c r="C359" s="16"/>
      <c r="D359" s="187">
        <v>0</v>
      </c>
      <c r="E359" s="17"/>
      <c r="F359" s="230">
        <f t="shared" ref="F359" si="184">IF($D$2*D358&lt;=200,0.017,0.0085)</f>
        <v>1.7000000000000001E-2</v>
      </c>
      <c r="G359" s="18">
        <f t="shared" si="181"/>
        <v>0</v>
      </c>
      <c r="H359" s="188">
        <f t="shared" si="182"/>
        <v>1000</v>
      </c>
      <c r="I359" s="188">
        <f t="shared" si="183"/>
        <v>0</v>
      </c>
      <c r="J359" s="23">
        <f>D359*I359</f>
        <v>0</v>
      </c>
      <c r="K359" s="189">
        <f t="shared" ref="K359" si="185">G358*D358+G359*D359</f>
        <v>0</v>
      </c>
      <c r="L359" s="234">
        <f t="shared" ref="L359" si="186">J358+J359</f>
        <v>0</v>
      </c>
      <c r="M359" s="287"/>
    </row>
    <row r="360" spans="2:13" hidden="1" outlineLevel="1" x14ac:dyDescent="0.2">
      <c r="B360" s="20"/>
      <c r="C360" s="20"/>
      <c r="D360" s="185"/>
      <c r="E360" s="20"/>
      <c r="F360" s="20"/>
      <c r="G360" s="20"/>
      <c r="H360" s="20"/>
      <c r="I360" s="20"/>
      <c r="J360" s="24"/>
      <c r="K360" s="30"/>
      <c r="L360" s="235"/>
      <c r="M360" s="26"/>
    </row>
    <row r="361" spans="2:13" hidden="1" outlineLevel="1" x14ac:dyDescent="0.2">
      <c r="B361" s="19"/>
      <c r="C361" s="20"/>
      <c r="D361" s="185"/>
      <c r="E361" s="19"/>
      <c r="F361" s="19"/>
      <c r="G361" s="19"/>
      <c r="H361" s="19"/>
      <c r="I361" s="19"/>
      <c r="J361" s="25"/>
      <c r="K361" s="26"/>
      <c r="L361" s="104"/>
      <c r="M361" s="26"/>
    </row>
    <row r="362" spans="2:13" hidden="1" outlineLevel="1" x14ac:dyDescent="0.2">
      <c r="B362" s="19"/>
      <c r="C362" s="20"/>
      <c r="D362" s="185"/>
      <c r="E362" s="19"/>
      <c r="F362" s="19"/>
      <c r="G362" s="19"/>
      <c r="H362" s="19"/>
      <c r="I362" s="19"/>
      <c r="J362" s="25"/>
      <c r="K362" s="26"/>
      <c r="L362" s="104"/>
      <c r="M362" s="26"/>
    </row>
    <row r="363" spans="2:13" hidden="1" outlineLevel="1" x14ac:dyDescent="0.2">
      <c r="B363" s="19"/>
      <c r="C363" s="20"/>
      <c r="D363" s="185"/>
      <c r="E363" s="19"/>
      <c r="F363" s="19"/>
      <c r="G363" s="19"/>
      <c r="H363" s="19"/>
      <c r="I363" s="19"/>
      <c r="J363" s="25"/>
      <c r="K363" s="26"/>
      <c r="L363" s="104"/>
      <c r="M363" s="26"/>
    </row>
    <row r="364" spans="2:13" hidden="1" outlineLevel="1" x14ac:dyDescent="0.2">
      <c r="B364" s="19"/>
      <c r="C364" s="20"/>
      <c r="D364" s="185"/>
      <c r="E364" s="19"/>
      <c r="F364" s="19"/>
      <c r="G364" s="19"/>
      <c r="H364" s="19"/>
      <c r="I364" s="19"/>
      <c r="J364" s="25"/>
      <c r="K364" s="26"/>
      <c r="L364" s="104"/>
      <c r="M364" s="26"/>
    </row>
    <row r="365" spans="2:13" ht="15.75" hidden="1" outlineLevel="1" thickBot="1" x14ac:dyDescent="0.25">
      <c r="B365" s="27"/>
      <c r="C365" s="20"/>
      <c r="D365" s="185"/>
      <c r="E365" s="27"/>
      <c r="F365" s="27"/>
      <c r="G365" s="27"/>
      <c r="H365" s="27"/>
      <c r="I365" s="27"/>
      <c r="J365" s="28"/>
      <c r="K365" s="29"/>
      <c r="L365" s="236"/>
      <c r="M365" s="26"/>
    </row>
    <row r="366" spans="2:13" ht="63.75" collapsed="1" x14ac:dyDescent="0.2">
      <c r="B366" s="252">
        <v>28</v>
      </c>
      <c r="C366" s="250"/>
      <c r="D366" s="11" t="s">
        <v>9</v>
      </c>
      <c r="E366" s="12" t="s">
        <v>5</v>
      </c>
      <c r="F366" s="11" t="s">
        <v>6</v>
      </c>
      <c r="G366" s="11" t="s">
        <v>7</v>
      </c>
      <c r="H366" s="11" t="s">
        <v>8</v>
      </c>
      <c r="I366" s="12" t="s">
        <v>19</v>
      </c>
      <c r="J366" s="21" t="s">
        <v>20</v>
      </c>
      <c r="K366" s="32" t="s">
        <v>179</v>
      </c>
      <c r="L366" s="237" t="s">
        <v>180</v>
      </c>
      <c r="M366" s="33" t="s">
        <v>276</v>
      </c>
    </row>
    <row r="367" spans="2:13" ht="15.75" x14ac:dyDescent="0.2">
      <c r="B367" s="253"/>
      <c r="C367" s="251"/>
      <c r="D367" s="184">
        <v>0</v>
      </c>
      <c r="E367" s="14">
        <v>0</v>
      </c>
      <c r="F367" s="14">
        <f t="shared" ref="F367" si="187">IF($D$2*D367&lt;=200,0.33,0.25)</f>
        <v>0.33</v>
      </c>
      <c r="G367" s="14">
        <f t="shared" ref="G367:G368" si="188">E367*F367</f>
        <v>0</v>
      </c>
      <c r="H367" s="15">
        <f t="shared" ref="H367:H368" si="189">IF(($D$2*D367)&gt;40,750,IF(AND(8&lt;=($D$2*D367),($D$2*D367)&lt;=40),850,1000))</f>
        <v>1000</v>
      </c>
      <c r="I367" s="15">
        <f t="shared" ref="I367:I368" si="190">(E367*F367*H367)</f>
        <v>0</v>
      </c>
      <c r="J367" s="22">
        <f>D367*I367</f>
        <v>0</v>
      </c>
      <c r="K367" s="186"/>
      <c r="L367" s="233"/>
      <c r="M367" s="286">
        <f>IFERROR((180/($D$2*D367)),0)</f>
        <v>0</v>
      </c>
    </row>
    <row r="368" spans="2:13" ht="16.5" thickBot="1" x14ac:dyDescent="0.25">
      <c r="B368" s="254"/>
      <c r="C368" s="16"/>
      <c r="D368" s="187">
        <v>0</v>
      </c>
      <c r="E368" s="17"/>
      <c r="F368" s="230">
        <f t="shared" ref="F368" si="191">IF($D$2*D367&lt;=200,0.017,0.0085)</f>
        <v>1.7000000000000001E-2</v>
      </c>
      <c r="G368" s="18">
        <f t="shared" si="188"/>
        <v>0</v>
      </c>
      <c r="H368" s="188">
        <f t="shared" si="189"/>
        <v>1000</v>
      </c>
      <c r="I368" s="188">
        <f t="shared" si="190"/>
        <v>0</v>
      </c>
      <c r="J368" s="23">
        <f>D368*I368</f>
        <v>0</v>
      </c>
      <c r="K368" s="189">
        <f t="shared" ref="K368" si="192">G367*D367+G368*D368</f>
        <v>0</v>
      </c>
      <c r="L368" s="234">
        <f t="shared" ref="L368" si="193">J367+J368</f>
        <v>0</v>
      </c>
      <c r="M368" s="287"/>
    </row>
    <row r="369" spans="2:13" hidden="1" outlineLevel="1" x14ac:dyDescent="0.2">
      <c r="B369" s="20"/>
      <c r="C369" s="20"/>
      <c r="D369" s="185"/>
      <c r="E369" s="20"/>
      <c r="F369" s="20"/>
      <c r="G369" s="20"/>
      <c r="H369" s="20"/>
      <c r="I369" s="20"/>
      <c r="J369" s="24"/>
      <c r="K369" s="30"/>
      <c r="L369" s="235"/>
      <c r="M369" s="26"/>
    </row>
    <row r="370" spans="2:13" hidden="1" outlineLevel="1" x14ac:dyDescent="0.2">
      <c r="B370" s="19"/>
      <c r="C370" s="20"/>
      <c r="D370" s="185"/>
      <c r="E370" s="19"/>
      <c r="F370" s="19"/>
      <c r="G370" s="19"/>
      <c r="H370" s="19"/>
      <c r="I370" s="19"/>
      <c r="J370" s="25"/>
      <c r="K370" s="26"/>
      <c r="L370" s="104"/>
      <c r="M370" s="26"/>
    </row>
    <row r="371" spans="2:13" hidden="1" outlineLevel="1" x14ac:dyDescent="0.2">
      <c r="B371" s="19"/>
      <c r="C371" s="20"/>
      <c r="D371" s="185"/>
      <c r="E371" s="19"/>
      <c r="F371" s="19"/>
      <c r="G371" s="19"/>
      <c r="H371" s="19"/>
      <c r="I371" s="19"/>
      <c r="J371" s="25"/>
      <c r="K371" s="26"/>
      <c r="L371" s="104"/>
      <c r="M371" s="26"/>
    </row>
    <row r="372" spans="2:13" hidden="1" outlineLevel="1" x14ac:dyDescent="0.2">
      <c r="B372" s="19"/>
      <c r="C372" s="20"/>
      <c r="D372" s="185"/>
      <c r="E372" s="19"/>
      <c r="F372" s="19"/>
      <c r="G372" s="19"/>
      <c r="H372" s="19"/>
      <c r="I372" s="19"/>
      <c r="J372" s="25"/>
      <c r="K372" s="26"/>
      <c r="L372" s="104"/>
      <c r="M372" s="26"/>
    </row>
    <row r="373" spans="2:13" hidden="1" outlineLevel="1" x14ac:dyDescent="0.2">
      <c r="B373" s="19"/>
      <c r="C373" s="20"/>
      <c r="D373" s="185"/>
      <c r="E373" s="19"/>
      <c r="F373" s="19"/>
      <c r="G373" s="19"/>
      <c r="H373" s="19"/>
      <c r="I373" s="19"/>
      <c r="J373" s="25"/>
      <c r="K373" s="26"/>
      <c r="L373" s="104"/>
      <c r="M373" s="26"/>
    </row>
    <row r="374" spans="2:13" ht="15.75" hidden="1" outlineLevel="1" thickBot="1" x14ac:dyDescent="0.25">
      <c r="B374" s="27"/>
      <c r="C374" s="20"/>
      <c r="D374" s="185"/>
      <c r="E374" s="27"/>
      <c r="F374" s="27"/>
      <c r="G374" s="27"/>
      <c r="H374" s="27"/>
      <c r="I374" s="27"/>
      <c r="J374" s="28"/>
      <c r="K374" s="29"/>
      <c r="L374" s="236"/>
      <c r="M374" s="26"/>
    </row>
    <row r="375" spans="2:13" ht="63.75" collapsed="1" x14ac:dyDescent="0.2">
      <c r="B375" s="252">
        <v>29</v>
      </c>
      <c r="C375" s="250"/>
      <c r="D375" s="11" t="s">
        <v>9</v>
      </c>
      <c r="E375" s="12" t="s">
        <v>5</v>
      </c>
      <c r="F375" s="11" t="s">
        <v>6</v>
      </c>
      <c r="G375" s="11" t="s">
        <v>7</v>
      </c>
      <c r="H375" s="11" t="s">
        <v>8</v>
      </c>
      <c r="I375" s="12" t="s">
        <v>19</v>
      </c>
      <c r="J375" s="21" t="s">
        <v>20</v>
      </c>
      <c r="K375" s="32" t="s">
        <v>179</v>
      </c>
      <c r="L375" s="237" t="s">
        <v>180</v>
      </c>
      <c r="M375" s="33" t="s">
        <v>276</v>
      </c>
    </row>
    <row r="376" spans="2:13" ht="15.75" x14ac:dyDescent="0.2">
      <c r="B376" s="253"/>
      <c r="C376" s="251"/>
      <c r="D376" s="184">
        <v>0</v>
      </c>
      <c r="E376" s="14">
        <v>0</v>
      </c>
      <c r="F376" s="14">
        <f t="shared" ref="F376" si="194">IF($D$2*D376&lt;=200,0.33,0.25)</f>
        <v>0.33</v>
      </c>
      <c r="G376" s="14">
        <f t="shared" ref="G376:G377" si="195">E376*F376</f>
        <v>0</v>
      </c>
      <c r="H376" s="15">
        <f t="shared" ref="H376:H377" si="196">IF(($D$2*D376)&gt;40,750,IF(AND(8&lt;=($D$2*D376),($D$2*D376)&lt;=40),850,1000))</f>
        <v>1000</v>
      </c>
      <c r="I376" s="15">
        <f t="shared" ref="I376:I377" si="197">(E376*F376*H376)</f>
        <v>0</v>
      </c>
      <c r="J376" s="22">
        <f>D376*I376</f>
        <v>0</v>
      </c>
      <c r="K376" s="186"/>
      <c r="L376" s="233"/>
      <c r="M376" s="286">
        <f>IFERROR((180/($D$2*D376)),0)</f>
        <v>0</v>
      </c>
    </row>
    <row r="377" spans="2:13" ht="16.5" thickBot="1" x14ac:dyDescent="0.25">
      <c r="B377" s="254"/>
      <c r="C377" s="16"/>
      <c r="D377" s="187">
        <v>0</v>
      </c>
      <c r="E377" s="17"/>
      <c r="F377" s="230">
        <f t="shared" ref="F377" si="198">IF($D$2*D376&lt;=200,0.017,0.0085)</f>
        <v>1.7000000000000001E-2</v>
      </c>
      <c r="G377" s="18">
        <f t="shared" si="195"/>
        <v>0</v>
      </c>
      <c r="H377" s="188">
        <f t="shared" si="196"/>
        <v>1000</v>
      </c>
      <c r="I377" s="188">
        <f t="shared" si="197"/>
        <v>0</v>
      </c>
      <c r="J377" s="23">
        <f>D377*I377</f>
        <v>0</v>
      </c>
      <c r="K377" s="189">
        <f t="shared" ref="K377" si="199">G376*D376+G377*D377</f>
        <v>0</v>
      </c>
      <c r="L377" s="234">
        <f t="shared" ref="L377" si="200">J376+J377</f>
        <v>0</v>
      </c>
      <c r="M377" s="287"/>
    </row>
    <row r="378" spans="2:13" hidden="1" outlineLevel="1" x14ac:dyDescent="0.2">
      <c r="B378" s="20"/>
      <c r="C378" s="20"/>
      <c r="D378" s="185"/>
      <c r="E378" s="20"/>
      <c r="F378" s="20"/>
      <c r="G378" s="20"/>
      <c r="H378" s="20"/>
      <c r="I378" s="20"/>
      <c r="J378" s="24"/>
      <c r="K378" s="30"/>
      <c r="L378" s="235"/>
      <c r="M378" s="26"/>
    </row>
    <row r="379" spans="2:13" hidden="1" outlineLevel="1" x14ac:dyDescent="0.2">
      <c r="B379" s="19"/>
      <c r="C379" s="20"/>
      <c r="D379" s="185"/>
      <c r="E379" s="19"/>
      <c r="F379" s="19"/>
      <c r="G379" s="19"/>
      <c r="H379" s="19"/>
      <c r="I379" s="19"/>
      <c r="J379" s="25"/>
      <c r="K379" s="26"/>
      <c r="L379" s="104"/>
      <c r="M379" s="26"/>
    </row>
    <row r="380" spans="2:13" hidden="1" outlineLevel="1" x14ac:dyDescent="0.2">
      <c r="B380" s="19"/>
      <c r="C380" s="20"/>
      <c r="D380" s="185"/>
      <c r="E380" s="19"/>
      <c r="F380" s="19"/>
      <c r="G380" s="19"/>
      <c r="H380" s="19"/>
      <c r="I380" s="19"/>
      <c r="J380" s="25"/>
      <c r="K380" s="26"/>
      <c r="L380" s="104"/>
      <c r="M380" s="26"/>
    </row>
    <row r="381" spans="2:13" hidden="1" outlineLevel="1" x14ac:dyDescent="0.2">
      <c r="B381" s="19"/>
      <c r="C381" s="20"/>
      <c r="D381" s="185"/>
      <c r="E381" s="19"/>
      <c r="F381" s="19"/>
      <c r="G381" s="19"/>
      <c r="H381" s="19"/>
      <c r="I381" s="19"/>
      <c r="J381" s="25"/>
      <c r="K381" s="26"/>
      <c r="L381" s="104"/>
      <c r="M381" s="26"/>
    </row>
    <row r="382" spans="2:13" hidden="1" outlineLevel="1" x14ac:dyDescent="0.2">
      <c r="B382" s="19"/>
      <c r="C382" s="20"/>
      <c r="D382" s="185"/>
      <c r="E382" s="19"/>
      <c r="F382" s="19"/>
      <c r="G382" s="19"/>
      <c r="H382" s="19"/>
      <c r="I382" s="19"/>
      <c r="J382" s="25"/>
      <c r="K382" s="26"/>
      <c r="L382" s="104"/>
      <c r="M382" s="26"/>
    </row>
    <row r="383" spans="2:13" ht="15.75" hidden="1" outlineLevel="1" thickBot="1" x14ac:dyDescent="0.25">
      <c r="B383" s="27"/>
      <c r="C383" s="20"/>
      <c r="D383" s="185"/>
      <c r="E383" s="27"/>
      <c r="F383" s="27"/>
      <c r="G383" s="27"/>
      <c r="H383" s="27"/>
      <c r="I383" s="27"/>
      <c r="J383" s="28"/>
      <c r="K383" s="29"/>
      <c r="L383" s="236"/>
      <c r="M383" s="26"/>
    </row>
    <row r="384" spans="2:13" ht="63.75" collapsed="1" x14ac:dyDescent="0.2">
      <c r="B384" s="252">
        <v>30</v>
      </c>
      <c r="C384" s="250"/>
      <c r="D384" s="11" t="s">
        <v>9</v>
      </c>
      <c r="E384" s="12" t="s">
        <v>5</v>
      </c>
      <c r="F384" s="11" t="s">
        <v>6</v>
      </c>
      <c r="G384" s="11" t="s">
        <v>7</v>
      </c>
      <c r="H384" s="11" t="s">
        <v>8</v>
      </c>
      <c r="I384" s="12" t="s">
        <v>19</v>
      </c>
      <c r="J384" s="21" t="s">
        <v>20</v>
      </c>
      <c r="K384" s="32" t="s">
        <v>179</v>
      </c>
      <c r="L384" s="237" t="s">
        <v>180</v>
      </c>
      <c r="M384" s="33" t="s">
        <v>276</v>
      </c>
    </row>
    <row r="385" spans="2:13" ht="15.75" x14ac:dyDescent="0.2">
      <c r="B385" s="253"/>
      <c r="C385" s="251"/>
      <c r="D385" s="184">
        <v>0</v>
      </c>
      <c r="E385" s="14">
        <v>0</v>
      </c>
      <c r="F385" s="14">
        <f t="shared" ref="F385" si="201">IF($D$2*D385&lt;=200,0.33,0.25)</f>
        <v>0.33</v>
      </c>
      <c r="G385" s="14">
        <f t="shared" ref="G385:G386" si="202">E385*F385</f>
        <v>0</v>
      </c>
      <c r="H385" s="15">
        <f t="shared" ref="H385:H386" si="203">IF(($D$2*D385)&gt;40,750,IF(AND(8&lt;=($D$2*D385),($D$2*D385)&lt;=40),850,1000))</f>
        <v>1000</v>
      </c>
      <c r="I385" s="15">
        <f t="shared" ref="I385:I386" si="204">(E385*F385*H385)</f>
        <v>0</v>
      </c>
      <c r="J385" s="22">
        <f>D385*I385</f>
        <v>0</v>
      </c>
      <c r="K385" s="186"/>
      <c r="L385" s="233"/>
      <c r="M385" s="286">
        <f>IFERROR((180/($D$2*D385)),0)</f>
        <v>0</v>
      </c>
    </row>
    <row r="386" spans="2:13" ht="16.5" thickBot="1" x14ac:dyDescent="0.25">
      <c r="B386" s="254"/>
      <c r="C386" s="16"/>
      <c r="D386" s="187">
        <v>0</v>
      </c>
      <c r="E386" s="17"/>
      <c r="F386" s="230">
        <f t="shared" ref="F386" si="205">IF($D$2*D385&lt;=200,0.017,0.0085)</f>
        <v>1.7000000000000001E-2</v>
      </c>
      <c r="G386" s="18">
        <f t="shared" si="202"/>
        <v>0</v>
      </c>
      <c r="H386" s="188">
        <f t="shared" si="203"/>
        <v>1000</v>
      </c>
      <c r="I386" s="188">
        <f t="shared" si="204"/>
        <v>0</v>
      </c>
      <c r="J386" s="23">
        <f>D386*I386</f>
        <v>0</v>
      </c>
      <c r="K386" s="189">
        <f t="shared" ref="K386" si="206">G385*D385+G386*D386</f>
        <v>0</v>
      </c>
      <c r="L386" s="234">
        <f t="shared" ref="L386" si="207">J385+J386</f>
        <v>0</v>
      </c>
      <c r="M386" s="287"/>
    </row>
    <row r="387" spans="2:13" hidden="1" outlineLevel="1" x14ac:dyDescent="0.2">
      <c r="B387" s="20"/>
      <c r="C387" s="20"/>
      <c r="D387" s="185"/>
      <c r="E387" s="20"/>
      <c r="F387" s="20"/>
      <c r="G387" s="20"/>
      <c r="H387" s="20"/>
      <c r="I387" s="20"/>
      <c r="J387" s="24"/>
      <c r="K387" s="30"/>
      <c r="L387" s="235"/>
      <c r="M387" s="26"/>
    </row>
    <row r="388" spans="2:13" hidden="1" outlineLevel="1" x14ac:dyDescent="0.2">
      <c r="B388" s="19"/>
      <c r="C388" s="20"/>
      <c r="D388" s="185"/>
      <c r="E388" s="19"/>
      <c r="F388" s="19"/>
      <c r="G388" s="19"/>
      <c r="H388" s="19"/>
      <c r="I388" s="19"/>
      <c r="J388" s="25"/>
      <c r="K388" s="26"/>
      <c r="L388" s="104"/>
      <c r="M388" s="26"/>
    </row>
    <row r="389" spans="2:13" hidden="1" outlineLevel="1" x14ac:dyDescent="0.2">
      <c r="B389" s="19"/>
      <c r="C389" s="20"/>
      <c r="D389" s="185"/>
      <c r="E389" s="19"/>
      <c r="F389" s="19"/>
      <c r="G389" s="19"/>
      <c r="H389" s="19"/>
      <c r="I389" s="19"/>
      <c r="J389" s="25"/>
      <c r="K389" s="26"/>
      <c r="L389" s="104"/>
      <c r="M389" s="26"/>
    </row>
    <row r="390" spans="2:13" hidden="1" outlineLevel="1" x14ac:dyDescent="0.2">
      <c r="B390" s="19"/>
      <c r="C390" s="20"/>
      <c r="D390" s="185"/>
      <c r="E390" s="19"/>
      <c r="F390" s="19"/>
      <c r="G390" s="19"/>
      <c r="H390" s="19"/>
      <c r="I390" s="19"/>
      <c r="J390" s="25"/>
      <c r="K390" s="26"/>
      <c r="L390" s="104"/>
      <c r="M390" s="26"/>
    </row>
    <row r="391" spans="2:13" hidden="1" outlineLevel="1" x14ac:dyDescent="0.2">
      <c r="B391" s="19"/>
      <c r="C391" s="20"/>
      <c r="D391" s="185"/>
      <c r="E391" s="19"/>
      <c r="F391" s="19"/>
      <c r="G391" s="19"/>
      <c r="H391" s="19"/>
      <c r="I391" s="19"/>
      <c r="J391" s="25"/>
      <c r="K391" s="26"/>
      <c r="L391" s="104"/>
      <c r="M391" s="26"/>
    </row>
    <row r="392" spans="2:13" ht="15.75" hidden="1" outlineLevel="1" thickBot="1" x14ac:dyDescent="0.25">
      <c r="B392" s="27"/>
      <c r="C392" s="20"/>
      <c r="D392" s="185"/>
      <c r="E392" s="27"/>
      <c r="F392" s="27"/>
      <c r="G392" s="27"/>
      <c r="H392" s="27"/>
      <c r="I392" s="27"/>
      <c r="J392" s="28"/>
      <c r="K392" s="29"/>
      <c r="L392" s="236"/>
      <c r="M392" s="26"/>
    </row>
    <row r="393" spans="2:13" ht="63.75" collapsed="1" x14ac:dyDescent="0.2">
      <c r="B393" s="252">
        <v>31</v>
      </c>
      <c r="C393" s="250"/>
      <c r="D393" s="11" t="s">
        <v>9</v>
      </c>
      <c r="E393" s="12" t="s">
        <v>5</v>
      </c>
      <c r="F393" s="11" t="s">
        <v>6</v>
      </c>
      <c r="G393" s="11" t="s">
        <v>7</v>
      </c>
      <c r="H393" s="11" t="s">
        <v>8</v>
      </c>
      <c r="I393" s="12" t="s">
        <v>19</v>
      </c>
      <c r="J393" s="21" t="s">
        <v>20</v>
      </c>
      <c r="K393" s="32" t="s">
        <v>179</v>
      </c>
      <c r="L393" s="237" t="s">
        <v>180</v>
      </c>
      <c r="M393" s="33" t="s">
        <v>276</v>
      </c>
    </row>
    <row r="394" spans="2:13" ht="15.75" x14ac:dyDescent="0.2">
      <c r="B394" s="253"/>
      <c r="C394" s="251"/>
      <c r="D394" s="184">
        <v>0</v>
      </c>
      <c r="E394" s="14">
        <v>0</v>
      </c>
      <c r="F394" s="14">
        <f t="shared" ref="F394" si="208">IF($D$2*D394&lt;=200,0.33,0.25)</f>
        <v>0.33</v>
      </c>
      <c r="G394" s="14">
        <f t="shared" ref="G394:G395" si="209">E394*F394</f>
        <v>0</v>
      </c>
      <c r="H394" s="15">
        <f t="shared" ref="H394:H395" si="210">IF(($D$2*D394)&gt;40,750,IF(AND(8&lt;=($D$2*D394),($D$2*D394)&lt;=40),850,1000))</f>
        <v>1000</v>
      </c>
      <c r="I394" s="15">
        <f t="shared" ref="I394:I395" si="211">(E394*F394*H394)</f>
        <v>0</v>
      </c>
      <c r="J394" s="22">
        <f>D394*I394</f>
        <v>0</v>
      </c>
      <c r="K394" s="186"/>
      <c r="L394" s="233"/>
      <c r="M394" s="286">
        <f>IFERROR((180/($D$2*D394)),0)</f>
        <v>0</v>
      </c>
    </row>
    <row r="395" spans="2:13" ht="16.5" thickBot="1" x14ac:dyDescent="0.25">
      <c r="B395" s="254"/>
      <c r="C395" s="16"/>
      <c r="D395" s="187">
        <v>0</v>
      </c>
      <c r="E395" s="17"/>
      <c r="F395" s="230">
        <f t="shared" ref="F395" si="212">IF($D$2*D394&lt;=200,0.017,0.0085)</f>
        <v>1.7000000000000001E-2</v>
      </c>
      <c r="G395" s="18">
        <f t="shared" si="209"/>
        <v>0</v>
      </c>
      <c r="H395" s="188">
        <f t="shared" si="210"/>
        <v>1000</v>
      </c>
      <c r="I395" s="188">
        <f t="shared" si="211"/>
        <v>0</v>
      </c>
      <c r="J395" s="23">
        <f>D395*I395</f>
        <v>0</v>
      </c>
      <c r="K395" s="189">
        <f t="shared" ref="K395" si="213">G394*D394+G395*D395</f>
        <v>0</v>
      </c>
      <c r="L395" s="234">
        <f t="shared" ref="L395" si="214">J394+J395</f>
        <v>0</v>
      </c>
      <c r="M395" s="287"/>
    </row>
    <row r="396" spans="2:13" hidden="1" outlineLevel="1" x14ac:dyDescent="0.2">
      <c r="B396" s="20"/>
      <c r="C396" s="20"/>
      <c r="D396" s="185"/>
      <c r="E396" s="20"/>
      <c r="F396" s="20"/>
      <c r="G396" s="20"/>
      <c r="H396" s="20"/>
      <c r="I396" s="20"/>
      <c r="J396" s="24"/>
      <c r="K396" s="30"/>
      <c r="L396" s="235"/>
      <c r="M396" s="26"/>
    </row>
    <row r="397" spans="2:13" hidden="1" outlineLevel="1" x14ac:dyDescent="0.2">
      <c r="B397" s="19"/>
      <c r="C397" s="20"/>
      <c r="D397" s="185"/>
      <c r="E397" s="19"/>
      <c r="F397" s="19"/>
      <c r="G397" s="19"/>
      <c r="H397" s="19"/>
      <c r="I397" s="19"/>
      <c r="J397" s="25"/>
      <c r="K397" s="26"/>
      <c r="L397" s="104"/>
      <c r="M397" s="26"/>
    </row>
    <row r="398" spans="2:13" hidden="1" outlineLevel="1" x14ac:dyDescent="0.2">
      <c r="B398" s="19"/>
      <c r="C398" s="20"/>
      <c r="D398" s="185"/>
      <c r="E398" s="19"/>
      <c r="F398" s="19"/>
      <c r="G398" s="19"/>
      <c r="H398" s="19"/>
      <c r="I398" s="19"/>
      <c r="J398" s="25"/>
      <c r="K398" s="26"/>
      <c r="L398" s="104"/>
      <c r="M398" s="26"/>
    </row>
    <row r="399" spans="2:13" hidden="1" outlineLevel="1" x14ac:dyDescent="0.2">
      <c r="B399" s="19"/>
      <c r="C399" s="20"/>
      <c r="D399" s="185"/>
      <c r="E399" s="19"/>
      <c r="F399" s="19"/>
      <c r="G399" s="19"/>
      <c r="H399" s="19"/>
      <c r="I399" s="19"/>
      <c r="J399" s="25"/>
      <c r="K399" s="26"/>
      <c r="L399" s="104"/>
      <c r="M399" s="26"/>
    </row>
    <row r="400" spans="2:13" hidden="1" outlineLevel="1" x14ac:dyDescent="0.2">
      <c r="B400" s="19"/>
      <c r="C400" s="20"/>
      <c r="D400" s="185"/>
      <c r="E400" s="19"/>
      <c r="F400" s="19"/>
      <c r="G400" s="19"/>
      <c r="H400" s="19"/>
      <c r="I400" s="19"/>
      <c r="J400" s="25"/>
      <c r="K400" s="26"/>
      <c r="L400" s="104"/>
      <c r="M400" s="26"/>
    </row>
    <row r="401" spans="2:13" ht="15.75" hidden="1" outlineLevel="1" thickBot="1" x14ac:dyDescent="0.25">
      <c r="B401" s="27"/>
      <c r="C401" s="20"/>
      <c r="D401" s="185"/>
      <c r="E401" s="27"/>
      <c r="F401" s="27"/>
      <c r="G401" s="27"/>
      <c r="H401" s="27"/>
      <c r="I401" s="27"/>
      <c r="J401" s="28"/>
      <c r="K401" s="29"/>
      <c r="L401" s="236"/>
      <c r="M401" s="26"/>
    </row>
    <row r="402" spans="2:13" ht="63.75" collapsed="1" x14ac:dyDescent="0.2">
      <c r="B402" s="252">
        <v>32</v>
      </c>
      <c r="C402" s="250"/>
      <c r="D402" s="11" t="s">
        <v>9</v>
      </c>
      <c r="E402" s="12" t="s">
        <v>5</v>
      </c>
      <c r="F402" s="11" t="s">
        <v>6</v>
      </c>
      <c r="G402" s="11" t="s">
        <v>7</v>
      </c>
      <c r="H402" s="11" t="s">
        <v>8</v>
      </c>
      <c r="I402" s="12" t="s">
        <v>19</v>
      </c>
      <c r="J402" s="21" t="s">
        <v>20</v>
      </c>
      <c r="K402" s="32" t="s">
        <v>179</v>
      </c>
      <c r="L402" s="237" t="s">
        <v>180</v>
      </c>
      <c r="M402" s="33" t="s">
        <v>276</v>
      </c>
    </row>
    <row r="403" spans="2:13" ht="15.75" x14ac:dyDescent="0.2">
      <c r="B403" s="253"/>
      <c r="C403" s="251"/>
      <c r="D403" s="184">
        <v>0</v>
      </c>
      <c r="E403" s="14">
        <v>0</v>
      </c>
      <c r="F403" s="14">
        <f t="shared" ref="F403" si="215">IF($D$2*D403&lt;=200,0.33,0.25)</f>
        <v>0.33</v>
      </c>
      <c r="G403" s="14">
        <f t="shared" ref="G403:G404" si="216">E403*F403</f>
        <v>0</v>
      </c>
      <c r="H403" s="15">
        <f t="shared" ref="H403:H404" si="217">IF(($D$2*D403)&gt;40,750,IF(AND(8&lt;=($D$2*D403),($D$2*D403)&lt;=40),850,1000))</f>
        <v>1000</v>
      </c>
      <c r="I403" s="15">
        <f t="shared" ref="I403:I404" si="218">(E403*F403*H403)</f>
        <v>0</v>
      </c>
      <c r="J403" s="22">
        <f>D403*I403</f>
        <v>0</v>
      </c>
      <c r="K403" s="186"/>
      <c r="L403" s="233"/>
      <c r="M403" s="286">
        <f>IFERROR((180/($D$2*D403)),0)</f>
        <v>0</v>
      </c>
    </row>
    <row r="404" spans="2:13" ht="16.5" thickBot="1" x14ac:dyDescent="0.25">
      <c r="B404" s="254"/>
      <c r="C404" s="16"/>
      <c r="D404" s="187">
        <v>0</v>
      </c>
      <c r="E404" s="17"/>
      <c r="F404" s="230">
        <f t="shared" ref="F404" si="219">IF($D$2*D403&lt;=200,0.017,0.0085)</f>
        <v>1.7000000000000001E-2</v>
      </c>
      <c r="G404" s="18">
        <f t="shared" si="216"/>
        <v>0</v>
      </c>
      <c r="H404" s="188">
        <f t="shared" si="217"/>
        <v>1000</v>
      </c>
      <c r="I404" s="188">
        <f t="shared" si="218"/>
        <v>0</v>
      </c>
      <c r="J404" s="23">
        <f>D404*I404</f>
        <v>0</v>
      </c>
      <c r="K404" s="189">
        <f t="shared" ref="K404" si="220">G403*D403+G404*D404</f>
        <v>0</v>
      </c>
      <c r="L404" s="234">
        <f t="shared" ref="L404" si="221">J403+J404</f>
        <v>0</v>
      </c>
      <c r="M404" s="287"/>
    </row>
    <row r="405" spans="2:13" hidden="1" outlineLevel="1" x14ac:dyDescent="0.2">
      <c r="B405" s="20"/>
      <c r="C405" s="20"/>
      <c r="D405" s="185"/>
      <c r="E405" s="20"/>
      <c r="F405" s="20"/>
      <c r="G405" s="20"/>
      <c r="H405" s="20"/>
      <c r="I405" s="20"/>
      <c r="J405" s="24"/>
      <c r="K405" s="30"/>
      <c r="L405" s="30"/>
    </row>
    <row r="406" spans="2:13" hidden="1" outlineLevel="1" x14ac:dyDescent="0.2">
      <c r="B406" s="19"/>
      <c r="C406" s="20"/>
      <c r="D406" s="185"/>
      <c r="E406" s="19"/>
      <c r="F406" s="19"/>
      <c r="G406" s="19"/>
      <c r="H406" s="19"/>
      <c r="I406" s="19"/>
      <c r="J406" s="25"/>
      <c r="K406" s="26"/>
      <c r="L406" s="26"/>
    </row>
    <row r="407" spans="2:13" hidden="1" outlineLevel="1" x14ac:dyDescent="0.2">
      <c r="B407" s="19"/>
      <c r="C407" s="20"/>
      <c r="D407" s="185"/>
      <c r="E407" s="19"/>
      <c r="F407" s="19"/>
      <c r="G407" s="19"/>
      <c r="H407" s="19"/>
      <c r="I407" s="19"/>
      <c r="J407" s="25"/>
      <c r="K407" s="26"/>
      <c r="L407" s="26"/>
    </row>
    <row r="408" spans="2:13" hidden="1" outlineLevel="1" x14ac:dyDescent="0.2">
      <c r="B408" s="19"/>
      <c r="C408" s="20"/>
      <c r="D408" s="185"/>
      <c r="E408" s="19"/>
      <c r="F408" s="19"/>
      <c r="G408" s="19"/>
      <c r="H408" s="19"/>
      <c r="I408" s="19"/>
      <c r="J408" s="25"/>
      <c r="K408" s="26"/>
      <c r="L408" s="26"/>
    </row>
    <row r="409" spans="2:13" hidden="1" outlineLevel="1" x14ac:dyDescent="0.2">
      <c r="B409" s="19"/>
      <c r="C409" s="20"/>
      <c r="D409" s="185"/>
      <c r="E409" s="19"/>
      <c r="F409" s="19"/>
      <c r="G409" s="19"/>
      <c r="H409" s="19"/>
      <c r="I409" s="19"/>
      <c r="J409" s="25"/>
      <c r="K409" s="26"/>
      <c r="L409" s="26"/>
    </row>
    <row r="410" spans="2:13" hidden="1" outlineLevel="1" x14ac:dyDescent="0.2">
      <c r="B410" s="27"/>
      <c r="C410" s="20"/>
      <c r="D410" s="185"/>
      <c r="E410" s="27"/>
      <c r="F410" s="27"/>
      <c r="G410" s="27"/>
      <c r="H410" s="27"/>
      <c r="I410" s="27"/>
      <c r="J410" s="28"/>
      <c r="K410" s="29"/>
      <c r="L410" s="29"/>
    </row>
    <row r="411" spans="2:13" collapsed="1" x14ac:dyDescent="0.2">
      <c r="F411"/>
      <c r="G411"/>
      <c r="H411"/>
      <c r="I411"/>
      <c r="J411"/>
      <c r="K411"/>
      <c r="L411"/>
    </row>
  </sheetData>
  <mergeCells count="130">
    <mergeCell ref="M394:M395"/>
    <mergeCell ref="M403:M404"/>
    <mergeCell ref="M349:M350"/>
    <mergeCell ref="M358:M359"/>
    <mergeCell ref="M367:M368"/>
    <mergeCell ref="M376:M377"/>
    <mergeCell ref="M385:M386"/>
    <mergeCell ref="M304:M305"/>
    <mergeCell ref="M313:M314"/>
    <mergeCell ref="M322:M323"/>
    <mergeCell ref="M331:M332"/>
    <mergeCell ref="M340:M341"/>
    <mergeCell ref="M259:M260"/>
    <mergeCell ref="M268:M269"/>
    <mergeCell ref="M277:M278"/>
    <mergeCell ref="M286:M287"/>
    <mergeCell ref="M295:M296"/>
    <mergeCell ref="M211:M212"/>
    <mergeCell ref="M220:M221"/>
    <mergeCell ref="M231:M232"/>
    <mergeCell ref="M240:M241"/>
    <mergeCell ref="M249:M250"/>
    <mergeCell ref="M166:M167"/>
    <mergeCell ref="M175:M176"/>
    <mergeCell ref="M184:M185"/>
    <mergeCell ref="M193:M194"/>
    <mergeCell ref="M202:M203"/>
    <mergeCell ref="M115:M116"/>
    <mergeCell ref="M124:M125"/>
    <mergeCell ref="M135:M136"/>
    <mergeCell ref="M144:M145"/>
    <mergeCell ref="M157:M158"/>
    <mergeCell ref="E48:G48"/>
    <mergeCell ref="B13:H13"/>
    <mergeCell ref="C46:D46"/>
    <mergeCell ref="E47:G47"/>
    <mergeCell ref="B16:G16"/>
    <mergeCell ref="B44:K44"/>
    <mergeCell ref="B165:B167"/>
    <mergeCell ref="B192:B194"/>
    <mergeCell ref="C192:C193"/>
    <mergeCell ref="B111:L111"/>
    <mergeCell ref="D17:G17"/>
    <mergeCell ref="D18:G18"/>
    <mergeCell ref="D21:G21"/>
    <mergeCell ref="D22:G22"/>
    <mergeCell ref="D23:G23"/>
    <mergeCell ref="D25:G25"/>
    <mergeCell ref="D19:G19"/>
    <mergeCell ref="D24:G24"/>
    <mergeCell ref="C165:C166"/>
    <mergeCell ref="B26:G26"/>
    <mergeCell ref="E41:G41"/>
    <mergeCell ref="E60:G60"/>
    <mergeCell ref="J60:L60"/>
    <mergeCell ref="B1:C1"/>
    <mergeCell ref="B8:C8"/>
    <mergeCell ref="B10:H10"/>
    <mergeCell ref="B9:C9"/>
    <mergeCell ref="B2:C2"/>
    <mergeCell ref="E3:H3"/>
    <mergeCell ref="B3:D3"/>
    <mergeCell ref="B4:C4"/>
    <mergeCell ref="B5:C5"/>
    <mergeCell ref="B6:C6"/>
    <mergeCell ref="B7:C7"/>
    <mergeCell ref="E1:I2"/>
    <mergeCell ref="E4:G4"/>
    <mergeCell ref="B11:H11"/>
    <mergeCell ref="B402:B404"/>
    <mergeCell ref="C402:C403"/>
    <mergeCell ref="B357:B359"/>
    <mergeCell ref="C357:C358"/>
    <mergeCell ref="B366:B368"/>
    <mergeCell ref="C366:C367"/>
    <mergeCell ref="B375:B377"/>
    <mergeCell ref="C375:C376"/>
    <mergeCell ref="B384:B386"/>
    <mergeCell ref="C384:C385"/>
    <mergeCell ref="B393:B395"/>
    <mergeCell ref="C393:C394"/>
    <mergeCell ref="B339:B341"/>
    <mergeCell ref="C339:C340"/>
    <mergeCell ref="B348:B350"/>
    <mergeCell ref="C348:C349"/>
    <mergeCell ref="B303:B305"/>
    <mergeCell ref="C303:C304"/>
    <mergeCell ref="B312:B314"/>
    <mergeCell ref="C312:C313"/>
    <mergeCell ref="B321:B323"/>
    <mergeCell ref="C321:C322"/>
    <mergeCell ref="B330:B332"/>
    <mergeCell ref="C330:C331"/>
    <mergeCell ref="B276:B278"/>
    <mergeCell ref="C276:C277"/>
    <mergeCell ref="B285:B287"/>
    <mergeCell ref="C285:C286"/>
    <mergeCell ref="B294:B296"/>
    <mergeCell ref="C294:C295"/>
    <mergeCell ref="D20:G20"/>
    <mergeCell ref="B123:B125"/>
    <mergeCell ref="B210:B212"/>
    <mergeCell ref="C210:C211"/>
    <mergeCell ref="B248:B250"/>
    <mergeCell ref="C248:C249"/>
    <mergeCell ref="B219:B221"/>
    <mergeCell ref="C219:C220"/>
    <mergeCell ref="B230:B232"/>
    <mergeCell ref="C230:C231"/>
    <mergeCell ref="B239:B241"/>
    <mergeCell ref="C239:C240"/>
    <mergeCell ref="B201:B203"/>
    <mergeCell ref="C201:C202"/>
    <mergeCell ref="C114:C115"/>
    <mergeCell ref="C123:C124"/>
    <mergeCell ref="B258:B260"/>
    <mergeCell ref="C258:C259"/>
    <mergeCell ref="B267:B269"/>
    <mergeCell ref="C267:C268"/>
    <mergeCell ref="B134:B136"/>
    <mergeCell ref="C134:C135"/>
    <mergeCell ref="B114:B116"/>
    <mergeCell ref="B174:B176"/>
    <mergeCell ref="C174:C175"/>
    <mergeCell ref="B183:B185"/>
    <mergeCell ref="C183:C184"/>
    <mergeCell ref="B143:B145"/>
    <mergeCell ref="C143:C144"/>
    <mergeCell ref="B156:B158"/>
    <mergeCell ref="C156:C157"/>
  </mergeCells>
  <conditionalFormatting sqref="H17 H48:H57">
    <cfRule type="cellIs" dxfId="57" priority="12" operator="equal">
      <formula>0</formula>
    </cfRule>
  </conditionalFormatting>
  <conditionalFormatting sqref="H47">
    <cfRule type="cellIs" dxfId="56" priority="9" operator="equal">
      <formula>0</formula>
    </cfRule>
  </conditionalFormatting>
  <conditionalFormatting sqref="H58">
    <cfRule type="cellIs" dxfId="55" priority="8" operator="equal">
      <formula>0</formula>
    </cfRule>
  </conditionalFormatting>
  <conditionalFormatting sqref="H18:H23">
    <cfRule type="cellIs" dxfId="54" priority="7" operator="equal">
      <formula>0</formula>
    </cfRule>
  </conditionalFormatting>
  <conditionalFormatting sqref="H59">
    <cfRule type="cellIs" dxfId="53" priority="6" operator="equal">
      <formula>0</formula>
    </cfRule>
  </conditionalFormatting>
  <conditionalFormatting sqref="H27:H40">
    <cfRule type="cellIs" dxfId="52" priority="4" operator="equal">
      <formula>0</formula>
    </cfRule>
  </conditionalFormatting>
  <conditionalFormatting sqref="H24">
    <cfRule type="cellIs" dxfId="51" priority="2" operator="equal">
      <formula>0</formula>
    </cfRule>
  </conditionalFormatting>
  <conditionalFormatting sqref="H25">
    <cfRule type="cellIs" dxfId="50" priority="1" operator="equal">
      <formula>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W158"/>
  <sheetViews>
    <sheetView topLeftCell="A4" workbookViewId="0">
      <selection activeCell="L16" sqref="L16"/>
    </sheetView>
  </sheetViews>
  <sheetFormatPr defaultRowHeight="11.25" x14ac:dyDescent="0.2"/>
  <cols>
    <col min="1" max="1" width="9.5" bestFit="1" customWidth="1"/>
    <col min="2" max="2" width="14.6640625" customWidth="1"/>
    <col min="3" max="3" width="14.1640625" customWidth="1"/>
    <col min="4" max="4" width="19.5" customWidth="1"/>
    <col min="5" max="5" width="12.83203125" customWidth="1"/>
    <col min="6" max="6" width="23.6640625" customWidth="1"/>
    <col min="7" max="7" width="15.83203125" customWidth="1"/>
    <col min="8" max="8" width="8.83203125" customWidth="1"/>
    <col min="9" max="9" width="16.5" customWidth="1"/>
  </cols>
  <sheetData>
    <row r="3" spans="1:23" ht="16.5" thickBot="1" x14ac:dyDescent="0.3">
      <c r="A3" s="57" t="s">
        <v>15</v>
      </c>
      <c r="B3" s="289" t="s">
        <v>67</v>
      </c>
      <c r="C3" s="289"/>
      <c r="D3" s="289"/>
      <c r="E3" s="57"/>
      <c r="F3" s="57"/>
      <c r="G3" s="57"/>
      <c r="H3" s="57"/>
      <c r="I3" s="57"/>
    </row>
    <row r="4" spans="1:23" ht="15.75" x14ac:dyDescent="0.25">
      <c r="A4" s="58">
        <v>1</v>
      </c>
      <c r="B4" s="288"/>
      <c r="C4" s="288"/>
      <c r="D4" s="288"/>
      <c r="E4" s="59"/>
      <c r="F4" s="59"/>
      <c r="G4" s="59"/>
      <c r="H4" s="59"/>
      <c r="I4" s="60"/>
    </row>
    <row r="5" spans="1:23" ht="15.75" x14ac:dyDescent="0.25">
      <c r="A5" s="61"/>
      <c r="B5" s="6"/>
      <c r="C5" s="6"/>
      <c r="D5" s="6"/>
      <c r="E5" s="6"/>
      <c r="F5" s="6"/>
      <c r="G5" s="6"/>
      <c r="H5" s="6"/>
      <c r="I5" s="62"/>
    </row>
    <row r="6" spans="1:23" ht="15.75" x14ac:dyDescent="0.25">
      <c r="A6" s="61"/>
      <c r="B6" s="63" t="s">
        <v>32</v>
      </c>
      <c r="C6" s="64"/>
      <c r="D6" s="64"/>
      <c r="E6" s="64"/>
      <c r="F6" s="65"/>
      <c r="G6" s="6"/>
      <c r="H6" s="6"/>
      <c r="I6" s="62"/>
    </row>
    <row r="7" spans="1:23" ht="15.75" x14ac:dyDescent="0.25">
      <c r="A7" s="61"/>
      <c r="B7" s="66"/>
      <c r="C7" s="6"/>
      <c r="D7" s="6"/>
      <c r="E7" s="6"/>
      <c r="F7" s="67"/>
      <c r="G7" s="6"/>
      <c r="H7" s="6"/>
      <c r="I7" s="62"/>
    </row>
    <row r="8" spans="1:23" ht="31.5" x14ac:dyDescent="0.25">
      <c r="A8" s="61"/>
      <c r="B8" s="68" t="s">
        <v>57</v>
      </c>
      <c r="C8" s="69" t="s">
        <v>19</v>
      </c>
      <c r="D8" s="69" t="s">
        <v>58</v>
      </c>
      <c r="E8" s="69" t="s">
        <v>59</v>
      </c>
      <c r="F8" s="69" t="s">
        <v>20</v>
      </c>
      <c r="G8" s="70" t="s">
        <v>60</v>
      </c>
      <c r="H8" s="70" t="s">
        <v>61</v>
      </c>
      <c r="I8" s="71" t="s">
        <v>62</v>
      </c>
      <c r="J8" s="83"/>
      <c r="W8" s="83"/>
    </row>
    <row r="9" spans="1:23" ht="15.75" x14ac:dyDescent="0.25">
      <c r="A9" s="61"/>
      <c r="B9" s="4">
        <v>5.97</v>
      </c>
      <c r="C9" s="72">
        <v>78</v>
      </c>
      <c r="D9" s="4">
        <v>1.01</v>
      </c>
      <c r="E9" s="4">
        <v>1.03</v>
      </c>
      <c r="F9" s="73">
        <f>B9*C9*D9*E9</f>
        <v>484.42609800000002</v>
      </c>
      <c r="G9" s="6"/>
      <c r="H9" s="6"/>
      <c r="I9" s="62"/>
      <c r="J9" s="83">
        <f>F9*H19</f>
        <v>968.85219600000005</v>
      </c>
    </row>
    <row r="10" spans="1:23" ht="15.75" x14ac:dyDescent="0.25">
      <c r="A10" s="61"/>
      <c r="B10" s="66"/>
      <c r="C10" s="6"/>
      <c r="D10" s="6"/>
      <c r="E10" s="6"/>
      <c r="F10" s="67"/>
      <c r="G10" s="6"/>
      <c r="H10" s="6"/>
      <c r="I10" s="62"/>
    </row>
    <row r="11" spans="1:23" ht="15.75" x14ac:dyDescent="0.25">
      <c r="A11" s="61"/>
      <c r="B11" s="74" t="s">
        <v>63</v>
      </c>
      <c r="C11" s="75"/>
      <c r="D11" s="75"/>
      <c r="E11" s="75"/>
      <c r="F11" s="76"/>
      <c r="G11" s="6"/>
      <c r="H11" s="6"/>
      <c r="I11" s="62"/>
    </row>
    <row r="12" spans="1:23" ht="15.75" x14ac:dyDescent="0.25">
      <c r="A12" s="61"/>
      <c r="B12" s="66"/>
      <c r="C12" s="6"/>
      <c r="D12" s="6"/>
      <c r="E12" s="6"/>
      <c r="F12" s="67"/>
      <c r="G12" s="6"/>
      <c r="H12" s="6"/>
      <c r="I12" s="62"/>
    </row>
    <row r="13" spans="1:23" ht="31.5" x14ac:dyDescent="0.25">
      <c r="A13" s="61"/>
      <c r="B13" s="109" t="s">
        <v>113</v>
      </c>
      <c r="C13" s="109" t="s">
        <v>114</v>
      </c>
      <c r="D13" s="109" t="s">
        <v>115</v>
      </c>
      <c r="E13" s="69" t="s">
        <v>64</v>
      </c>
      <c r="F13" s="69" t="s">
        <v>20</v>
      </c>
      <c r="G13" s="6"/>
      <c r="H13" s="6"/>
      <c r="I13" s="62"/>
    </row>
    <row r="14" spans="1:23" ht="15.75" x14ac:dyDescent="0.25">
      <c r="A14" s="61"/>
      <c r="B14" s="110">
        <v>1.1040000000000001</v>
      </c>
      <c r="C14" s="110">
        <v>1.284</v>
      </c>
      <c r="D14" s="110">
        <f>B14*C14</f>
        <v>1.4175360000000001</v>
      </c>
      <c r="E14" s="72">
        <v>50</v>
      </c>
      <c r="F14" s="73">
        <f>D14*E14</f>
        <v>70.876800000000003</v>
      </c>
      <c r="G14" s="6"/>
      <c r="H14" s="6"/>
      <c r="I14" s="62"/>
    </row>
    <row r="15" spans="1:23" ht="15.75" x14ac:dyDescent="0.25">
      <c r="A15" s="61"/>
      <c r="B15" s="66"/>
      <c r="C15" s="6"/>
      <c r="D15" s="6"/>
      <c r="E15" s="6"/>
      <c r="F15" s="67"/>
      <c r="G15" s="6"/>
      <c r="H15" s="6"/>
      <c r="I15" s="62"/>
    </row>
    <row r="16" spans="1:23" ht="15.75" x14ac:dyDescent="0.25">
      <c r="A16" s="61"/>
      <c r="B16" s="74" t="s">
        <v>65</v>
      </c>
      <c r="C16" s="75"/>
      <c r="D16" s="75"/>
      <c r="E16" s="75"/>
      <c r="F16" s="76"/>
      <c r="G16" s="6"/>
      <c r="H16" s="6"/>
      <c r="I16" s="62"/>
    </row>
    <row r="17" spans="1:11" ht="15.75" x14ac:dyDescent="0.25">
      <c r="A17" s="61"/>
      <c r="B17" s="66"/>
      <c r="C17" s="6"/>
      <c r="D17" s="6"/>
      <c r="E17" s="6"/>
      <c r="F17" s="67"/>
      <c r="G17" s="6"/>
      <c r="H17" s="6"/>
      <c r="I17" s="62"/>
    </row>
    <row r="18" spans="1:11" ht="32.25" thickBot="1" x14ac:dyDescent="0.3">
      <c r="A18" s="61"/>
      <c r="B18" s="4" t="s">
        <v>66</v>
      </c>
      <c r="C18" s="69" t="s">
        <v>64</v>
      </c>
      <c r="D18" s="69" t="s">
        <v>20</v>
      </c>
      <c r="E18" s="6"/>
      <c r="F18" s="67"/>
      <c r="G18" s="6"/>
      <c r="H18" s="6"/>
      <c r="I18" s="62"/>
    </row>
    <row r="19" spans="1:11" ht="16.5" thickBot="1" x14ac:dyDescent="0.3">
      <c r="A19" s="77"/>
      <c r="B19" s="78">
        <f>(B14+C14)*2</f>
        <v>4.7759999999999998</v>
      </c>
      <c r="C19" s="78">
        <v>5</v>
      </c>
      <c r="D19" s="79">
        <f>B19*C19</f>
        <v>23.88</v>
      </c>
      <c r="E19" s="80"/>
      <c r="F19" s="80"/>
      <c r="G19" s="81">
        <f>F9+F14+D19</f>
        <v>579.18289800000002</v>
      </c>
      <c r="H19" s="80">
        <v>2</v>
      </c>
      <c r="I19" s="82">
        <f>G19*H19</f>
        <v>1158.365796</v>
      </c>
    </row>
    <row r="20" spans="1:11" ht="16.5" thickBot="1" x14ac:dyDescent="0.3">
      <c r="A20" s="57"/>
      <c r="B20" s="57"/>
      <c r="C20" s="57"/>
      <c r="D20" s="57"/>
      <c r="E20" s="57"/>
      <c r="F20" s="57"/>
      <c r="G20" s="57"/>
      <c r="H20" s="57"/>
      <c r="I20" s="57"/>
    </row>
    <row r="21" spans="1:11" ht="15.75" x14ac:dyDescent="0.25">
      <c r="A21" s="58">
        <v>2</v>
      </c>
      <c r="B21" s="288"/>
      <c r="C21" s="288"/>
      <c r="D21" s="288"/>
      <c r="E21" s="59"/>
      <c r="F21" s="59"/>
      <c r="G21" s="59"/>
      <c r="H21" s="59"/>
      <c r="I21" s="60"/>
    </row>
    <row r="22" spans="1:11" ht="15.75" x14ac:dyDescent="0.25">
      <c r="A22" s="61"/>
      <c r="B22" s="6"/>
      <c r="C22" s="6"/>
      <c r="D22" s="6"/>
      <c r="E22" s="6"/>
      <c r="F22" s="6"/>
      <c r="G22" s="6"/>
      <c r="H22" s="6"/>
      <c r="I22" s="62"/>
    </row>
    <row r="23" spans="1:11" ht="15.75" x14ac:dyDescent="0.25">
      <c r="A23" s="61"/>
      <c r="B23" s="63" t="s">
        <v>32</v>
      </c>
      <c r="C23" s="64"/>
      <c r="D23" s="64"/>
      <c r="E23" s="64"/>
      <c r="F23" s="65"/>
      <c r="G23" s="6"/>
      <c r="H23" s="6"/>
      <c r="I23" s="62"/>
    </row>
    <row r="24" spans="1:11" ht="15.75" x14ac:dyDescent="0.25">
      <c r="A24" s="61"/>
      <c r="B24" s="66"/>
      <c r="C24" s="6"/>
      <c r="D24" s="6"/>
      <c r="E24" s="6"/>
      <c r="F24" s="67"/>
      <c r="G24" s="6"/>
      <c r="H24" s="6"/>
      <c r="I24" s="62"/>
    </row>
    <row r="25" spans="1:11" ht="31.5" x14ac:dyDescent="0.25">
      <c r="A25" s="61"/>
      <c r="B25" s="68" t="s">
        <v>57</v>
      </c>
      <c r="C25" s="69" t="s">
        <v>19</v>
      </c>
      <c r="D25" s="69" t="s">
        <v>58</v>
      </c>
      <c r="E25" s="69" t="s">
        <v>59</v>
      </c>
      <c r="F25" s="69" t="s">
        <v>20</v>
      </c>
      <c r="G25" s="70" t="s">
        <v>60</v>
      </c>
      <c r="H25" s="70" t="s">
        <v>61</v>
      </c>
      <c r="I25" s="71" t="s">
        <v>62</v>
      </c>
    </row>
    <row r="26" spans="1:11" ht="15.75" x14ac:dyDescent="0.25">
      <c r="A26" s="61"/>
      <c r="B26" s="4">
        <v>9.0299999999999994</v>
      </c>
      <c r="C26" s="72">
        <v>78</v>
      </c>
      <c r="D26" s="4">
        <v>1.01</v>
      </c>
      <c r="E26" s="4">
        <v>1.03</v>
      </c>
      <c r="F26" s="73">
        <f>B26*C26*D26*E26</f>
        <v>732.72490199999993</v>
      </c>
      <c r="G26" s="6"/>
      <c r="H26" s="6"/>
      <c r="I26" s="62"/>
      <c r="J26" s="83">
        <f>F26*H36</f>
        <v>732.72490199999993</v>
      </c>
      <c r="K26">
        <f>B26*H36</f>
        <v>9.0299999999999994</v>
      </c>
    </row>
    <row r="27" spans="1:11" ht="15.75" x14ac:dyDescent="0.25">
      <c r="A27" s="61"/>
      <c r="B27" s="66"/>
      <c r="C27" s="6"/>
      <c r="D27" s="6"/>
      <c r="E27" s="6"/>
      <c r="F27" s="67"/>
      <c r="G27" s="6"/>
      <c r="H27" s="6"/>
      <c r="I27" s="62"/>
    </row>
    <row r="28" spans="1:11" ht="15.75" x14ac:dyDescent="0.25">
      <c r="A28" s="61"/>
      <c r="B28" s="74" t="s">
        <v>63</v>
      </c>
      <c r="C28" s="75"/>
      <c r="D28" s="75"/>
      <c r="E28" s="75"/>
      <c r="F28" s="76"/>
      <c r="G28" s="6"/>
      <c r="H28" s="6"/>
      <c r="I28" s="62"/>
    </row>
    <row r="29" spans="1:11" ht="15.75" x14ac:dyDescent="0.25">
      <c r="A29" s="61"/>
      <c r="B29" s="66"/>
      <c r="C29" s="6"/>
      <c r="D29" s="6"/>
      <c r="E29" s="6"/>
      <c r="F29" s="67"/>
      <c r="G29" s="6"/>
      <c r="H29" s="6"/>
      <c r="I29" s="62"/>
    </row>
    <row r="30" spans="1:11" ht="31.5" x14ac:dyDescent="0.25">
      <c r="A30" s="61"/>
      <c r="B30" s="109" t="s">
        <v>113</v>
      </c>
      <c r="C30" s="109" t="s">
        <v>114</v>
      </c>
      <c r="D30" s="109" t="s">
        <v>115</v>
      </c>
      <c r="E30" s="69" t="s">
        <v>64</v>
      </c>
      <c r="F30" s="69" t="s">
        <v>20</v>
      </c>
      <c r="G30" s="6"/>
      <c r="H30" s="6"/>
      <c r="I30" s="62"/>
    </row>
    <row r="31" spans="1:11" ht="15.75" x14ac:dyDescent="0.25">
      <c r="A31" s="61"/>
      <c r="B31" s="110">
        <v>1.94</v>
      </c>
      <c r="C31" s="110">
        <v>1.1399999999999999</v>
      </c>
      <c r="D31" s="110">
        <f>B31*C31</f>
        <v>2.2115999999999998</v>
      </c>
      <c r="E31" s="72">
        <v>50</v>
      </c>
      <c r="F31" s="73">
        <f>D31*E31</f>
        <v>110.57999999999998</v>
      </c>
      <c r="G31" s="6"/>
      <c r="H31" s="6"/>
      <c r="I31" s="62"/>
    </row>
    <row r="32" spans="1:11" ht="15.75" x14ac:dyDescent="0.25">
      <c r="A32" s="61"/>
      <c r="B32" s="66"/>
      <c r="C32" s="6"/>
      <c r="D32" s="6"/>
      <c r="E32" s="6"/>
      <c r="F32" s="67"/>
      <c r="G32" s="6"/>
      <c r="H32" s="6"/>
      <c r="I32" s="62"/>
    </row>
    <row r="33" spans="1:11" ht="15.75" x14ac:dyDescent="0.25">
      <c r="A33" s="61"/>
      <c r="B33" s="74" t="s">
        <v>65</v>
      </c>
      <c r="C33" s="75"/>
      <c r="D33" s="75"/>
      <c r="E33" s="75"/>
      <c r="F33" s="76"/>
      <c r="G33" s="6"/>
      <c r="H33" s="6"/>
      <c r="I33" s="62"/>
    </row>
    <row r="34" spans="1:11" ht="15.75" x14ac:dyDescent="0.25">
      <c r="A34" s="61"/>
      <c r="B34" s="66"/>
      <c r="C34" s="6"/>
      <c r="D34" s="6"/>
      <c r="E34" s="6"/>
      <c r="F34" s="67"/>
      <c r="G34" s="6"/>
      <c r="H34" s="6"/>
      <c r="I34" s="62"/>
    </row>
    <row r="35" spans="1:11" ht="32.25" thickBot="1" x14ac:dyDescent="0.3">
      <c r="A35" s="61"/>
      <c r="B35" s="4" t="s">
        <v>66</v>
      </c>
      <c r="C35" s="69" t="s">
        <v>64</v>
      </c>
      <c r="D35" s="69" t="s">
        <v>20</v>
      </c>
      <c r="E35" s="6"/>
      <c r="F35" s="67"/>
      <c r="G35" s="6"/>
      <c r="H35" s="6"/>
      <c r="I35" s="62"/>
    </row>
    <row r="36" spans="1:11" ht="16.5" thickBot="1" x14ac:dyDescent="0.3">
      <c r="A36" s="77"/>
      <c r="B36" s="78">
        <f>(B31+C31)*2</f>
        <v>6.16</v>
      </c>
      <c r="C36" s="78">
        <v>5</v>
      </c>
      <c r="D36" s="79">
        <f>B36*C36</f>
        <v>30.8</v>
      </c>
      <c r="E36" s="80"/>
      <c r="F36" s="80"/>
      <c r="G36" s="81">
        <f>F26+F31+D36</f>
        <v>874.10490199999981</v>
      </c>
      <c r="H36" s="80">
        <v>1</v>
      </c>
      <c r="I36" s="82">
        <f>G36*H36</f>
        <v>874.10490199999981</v>
      </c>
    </row>
    <row r="37" spans="1:11" ht="16.5" thickBot="1" x14ac:dyDescent="0.3">
      <c r="A37" s="57"/>
      <c r="B37" s="57"/>
      <c r="C37" s="57"/>
      <c r="D37" s="57"/>
      <c r="E37" s="57"/>
      <c r="F37" s="57"/>
      <c r="G37" s="57"/>
      <c r="H37" s="57"/>
      <c r="I37" s="57"/>
    </row>
    <row r="38" spans="1:11" ht="15.75" x14ac:dyDescent="0.25">
      <c r="A38" s="58">
        <v>3</v>
      </c>
      <c r="B38" s="288"/>
      <c r="C38" s="288"/>
      <c r="D38" s="288"/>
      <c r="E38" s="59"/>
      <c r="F38" s="59"/>
      <c r="G38" s="59"/>
      <c r="H38" s="59"/>
      <c r="I38" s="60"/>
    </row>
    <row r="39" spans="1:11" ht="15.75" x14ac:dyDescent="0.25">
      <c r="A39" s="61"/>
      <c r="B39" s="6"/>
      <c r="C39" s="6"/>
      <c r="D39" s="6"/>
      <c r="E39" s="6"/>
      <c r="F39" s="6"/>
      <c r="G39" s="6"/>
      <c r="H39" s="6"/>
      <c r="I39" s="62"/>
    </row>
    <row r="40" spans="1:11" ht="15.75" x14ac:dyDescent="0.25">
      <c r="A40" s="61"/>
      <c r="B40" s="63" t="s">
        <v>32</v>
      </c>
      <c r="C40" s="64"/>
      <c r="D40" s="64"/>
      <c r="E40" s="64"/>
      <c r="F40" s="65"/>
      <c r="G40" s="6"/>
      <c r="H40" s="6"/>
      <c r="I40" s="62"/>
    </row>
    <row r="41" spans="1:11" ht="15.75" x14ac:dyDescent="0.25">
      <c r="A41" s="61"/>
      <c r="B41" s="66"/>
      <c r="C41" s="6"/>
      <c r="D41" s="6"/>
      <c r="E41" s="6"/>
      <c r="F41" s="67"/>
      <c r="G41" s="6"/>
      <c r="H41" s="6"/>
      <c r="I41" s="62"/>
    </row>
    <row r="42" spans="1:11" ht="31.5" x14ac:dyDescent="0.25">
      <c r="A42" s="61"/>
      <c r="B42" s="68" t="s">
        <v>57</v>
      </c>
      <c r="C42" s="69" t="s">
        <v>19</v>
      </c>
      <c r="D42" s="69" t="s">
        <v>58</v>
      </c>
      <c r="E42" s="69" t="s">
        <v>59</v>
      </c>
      <c r="F42" s="69" t="s">
        <v>20</v>
      </c>
      <c r="G42" s="70" t="s">
        <v>60</v>
      </c>
      <c r="H42" s="70" t="s">
        <v>61</v>
      </c>
      <c r="I42" s="71" t="s">
        <v>62</v>
      </c>
    </row>
    <row r="43" spans="1:11" ht="15.75" x14ac:dyDescent="0.25">
      <c r="A43" s="61"/>
      <c r="B43" s="4">
        <v>4.67</v>
      </c>
      <c r="C43" s="72">
        <v>78</v>
      </c>
      <c r="D43" s="4">
        <v>1.01</v>
      </c>
      <c r="E43" s="4">
        <v>1.03</v>
      </c>
      <c r="F43" s="73">
        <f>B43*C43*D43*E43</f>
        <v>378.93967800000001</v>
      </c>
      <c r="G43" s="6"/>
      <c r="H43" s="6"/>
      <c r="I43" s="62"/>
      <c r="J43" s="83">
        <f>F43*H53</f>
        <v>378.93967800000001</v>
      </c>
      <c r="K43">
        <f>B43*H53</f>
        <v>4.67</v>
      </c>
    </row>
    <row r="44" spans="1:11" ht="15.75" x14ac:dyDescent="0.25">
      <c r="A44" s="61"/>
      <c r="B44" s="66"/>
      <c r="C44" s="6"/>
      <c r="D44" s="6"/>
      <c r="E44" s="6"/>
      <c r="F44" s="67"/>
      <c r="G44" s="6"/>
      <c r="H44" s="6"/>
      <c r="I44" s="62"/>
    </row>
    <row r="45" spans="1:11" ht="15.75" x14ac:dyDescent="0.25">
      <c r="A45" s="61"/>
      <c r="B45" s="74" t="s">
        <v>63</v>
      </c>
      <c r="C45" s="75"/>
      <c r="D45" s="75"/>
      <c r="E45" s="75"/>
      <c r="F45" s="76"/>
      <c r="G45" s="6"/>
      <c r="H45" s="6"/>
      <c r="I45" s="62"/>
    </row>
    <row r="46" spans="1:11" ht="15.75" x14ac:dyDescent="0.25">
      <c r="A46" s="61"/>
      <c r="B46" s="66"/>
      <c r="C46" s="6"/>
      <c r="D46" s="6"/>
      <c r="E46" s="6"/>
      <c r="F46" s="67"/>
      <c r="G46" s="6"/>
      <c r="H46" s="6"/>
      <c r="I46" s="62"/>
    </row>
    <row r="47" spans="1:11" ht="31.5" x14ac:dyDescent="0.25">
      <c r="A47" s="61"/>
      <c r="B47" s="109" t="s">
        <v>113</v>
      </c>
      <c r="C47" s="109" t="s">
        <v>114</v>
      </c>
      <c r="D47" s="109" t="s">
        <v>115</v>
      </c>
      <c r="E47" s="69" t="s">
        <v>64</v>
      </c>
      <c r="F47" s="69" t="s">
        <v>20</v>
      </c>
      <c r="G47" s="6"/>
      <c r="H47" s="6"/>
      <c r="I47" s="62"/>
    </row>
    <row r="48" spans="1:11" ht="15.75" x14ac:dyDescent="0.25">
      <c r="A48" s="61"/>
      <c r="B48" s="110">
        <v>1.859</v>
      </c>
      <c r="C48" s="110">
        <v>0.59799999999999998</v>
      </c>
      <c r="D48" s="110">
        <f>B48*C48</f>
        <v>1.1116819999999998</v>
      </c>
      <c r="E48" s="72">
        <v>50</v>
      </c>
      <c r="F48" s="73">
        <f>D48*E48</f>
        <v>55.584099999999992</v>
      </c>
      <c r="G48" s="6"/>
      <c r="H48" s="6"/>
      <c r="I48" s="62"/>
    </row>
    <row r="49" spans="1:11" ht="15.75" x14ac:dyDescent="0.25">
      <c r="A49" s="61"/>
      <c r="B49" s="66"/>
      <c r="C49" s="6"/>
      <c r="D49" s="6"/>
      <c r="E49" s="6"/>
      <c r="F49" s="67"/>
      <c r="G49" s="6"/>
      <c r="H49" s="6"/>
      <c r="I49" s="62"/>
    </row>
    <row r="50" spans="1:11" ht="15.75" x14ac:dyDescent="0.25">
      <c r="A50" s="61"/>
      <c r="B50" s="74" t="s">
        <v>65</v>
      </c>
      <c r="C50" s="75"/>
      <c r="D50" s="75"/>
      <c r="E50" s="75"/>
      <c r="F50" s="76"/>
      <c r="G50" s="6"/>
      <c r="H50" s="6"/>
      <c r="I50" s="62"/>
    </row>
    <row r="51" spans="1:11" ht="15.75" x14ac:dyDescent="0.25">
      <c r="A51" s="61"/>
      <c r="B51" s="66"/>
      <c r="C51" s="6"/>
      <c r="D51" s="6"/>
      <c r="E51" s="6"/>
      <c r="F51" s="67"/>
      <c r="G51" s="6"/>
      <c r="H51" s="6"/>
      <c r="I51" s="62"/>
    </row>
    <row r="52" spans="1:11" ht="32.25" thickBot="1" x14ac:dyDescent="0.3">
      <c r="A52" s="61"/>
      <c r="B52" s="4" t="s">
        <v>66</v>
      </c>
      <c r="C52" s="69" t="s">
        <v>64</v>
      </c>
      <c r="D52" s="69" t="s">
        <v>20</v>
      </c>
      <c r="E52" s="6"/>
      <c r="F52" s="67"/>
      <c r="G52" s="6"/>
      <c r="H52" s="6"/>
      <c r="I52" s="62"/>
    </row>
    <row r="53" spans="1:11" ht="16.5" thickBot="1" x14ac:dyDescent="0.3">
      <c r="A53" s="77"/>
      <c r="B53" s="78">
        <f>(B48+C48)*2</f>
        <v>4.9139999999999997</v>
      </c>
      <c r="C53" s="78">
        <v>5</v>
      </c>
      <c r="D53" s="79">
        <f>B53*C53</f>
        <v>24.57</v>
      </c>
      <c r="E53" s="80"/>
      <c r="F53" s="80"/>
      <c r="G53" s="81">
        <f>F43+F48+D53</f>
        <v>459.09377799999999</v>
      </c>
      <c r="H53" s="80">
        <v>1</v>
      </c>
      <c r="I53" s="82">
        <f>G53*H53</f>
        <v>459.09377799999999</v>
      </c>
    </row>
    <row r="54" spans="1:11" ht="16.5" thickBot="1" x14ac:dyDescent="0.3">
      <c r="A54" s="57"/>
      <c r="B54" s="57"/>
      <c r="C54" s="57"/>
      <c r="D54" s="57"/>
      <c r="E54" s="57"/>
      <c r="F54" s="57"/>
      <c r="G54" s="57"/>
      <c r="H54" s="57"/>
      <c r="I54" s="57"/>
    </row>
    <row r="55" spans="1:11" ht="15.75" x14ac:dyDescent="0.25">
      <c r="A55" s="58">
        <v>4</v>
      </c>
      <c r="B55" s="288"/>
      <c r="C55" s="288"/>
      <c r="D55" s="288"/>
      <c r="E55" s="59"/>
      <c r="F55" s="59"/>
      <c r="G55" s="59"/>
      <c r="H55" s="59"/>
      <c r="I55" s="60"/>
    </row>
    <row r="56" spans="1:11" ht="15.75" x14ac:dyDescent="0.25">
      <c r="A56" s="61"/>
      <c r="B56" s="6"/>
      <c r="C56" s="6"/>
      <c r="D56" s="6"/>
      <c r="E56" s="6"/>
      <c r="F56" s="6"/>
      <c r="G56" s="6"/>
      <c r="H56" s="6"/>
      <c r="I56" s="62"/>
    </row>
    <row r="57" spans="1:11" ht="15.75" x14ac:dyDescent="0.25">
      <c r="A57" s="61"/>
      <c r="B57" s="63" t="s">
        <v>32</v>
      </c>
      <c r="C57" s="64"/>
      <c r="D57" s="64"/>
      <c r="E57" s="64"/>
      <c r="F57" s="65"/>
      <c r="G57" s="6"/>
      <c r="H57" s="6"/>
      <c r="I57" s="62"/>
    </row>
    <row r="58" spans="1:11" ht="15.75" x14ac:dyDescent="0.25">
      <c r="A58" s="61"/>
      <c r="B58" s="66"/>
      <c r="C58" s="6"/>
      <c r="D58" s="6"/>
      <c r="E58" s="6"/>
      <c r="F58" s="67"/>
      <c r="G58" s="6"/>
      <c r="H58" s="6"/>
      <c r="I58" s="62"/>
    </row>
    <row r="59" spans="1:11" ht="31.5" x14ac:dyDescent="0.25">
      <c r="A59" s="61"/>
      <c r="B59" s="68" t="s">
        <v>57</v>
      </c>
      <c r="C59" s="69" t="s">
        <v>19</v>
      </c>
      <c r="D59" s="69" t="s">
        <v>58</v>
      </c>
      <c r="E59" s="69" t="s">
        <v>59</v>
      </c>
      <c r="F59" s="69" t="s">
        <v>20</v>
      </c>
      <c r="G59" s="70" t="s">
        <v>60</v>
      </c>
      <c r="H59" s="70" t="s">
        <v>61</v>
      </c>
      <c r="I59" s="71" t="s">
        <v>62</v>
      </c>
    </row>
    <row r="60" spans="1:11" ht="15.75" x14ac:dyDescent="0.25">
      <c r="A60" s="61"/>
      <c r="B60" s="4">
        <v>4.6500000000000004</v>
      </c>
      <c r="C60" s="72">
        <v>78</v>
      </c>
      <c r="D60" s="4">
        <v>1.01</v>
      </c>
      <c r="E60" s="4">
        <v>1.03</v>
      </c>
      <c r="F60" s="73">
        <f>B60*C60*D60*E60</f>
        <v>377.31681000000009</v>
      </c>
      <c r="G60" s="6"/>
      <c r="H60" s="6"/>
      <c r="I60" s="62"/>
      <c r="J60" s="83">
        <f>F60*H70</f>
        <v>754.63362000000018</v>
      </c>
      <c r="K60">
        <f>B60*H70</f>
        <v>9.3000000000000007</v>
      </c>
    </row>
    <row r="61" spans="1:11" ht="15.75" x14ac:dyDescent="0.25">
      <c r="A61" s="61"/>
      <c r="B61" s="66"/>
      <c r="C61" s="6"/>
      <c r="D61" s="6"/>
      <c r="E61" s="6"/>
      <c r="F61" s="67"/>
      <c r="G61" s="6"/>
      <c r="H61" s="6"/>
      <c r="I61" s="62"/>
    </row>
    <row r="62" spans="1:11" ht="15.75" x14ac:dyDescent="0.25">
      <c r="A62" s="61"/>
      <c r="B62" s="74" t="s">
        <v>63</v>
      </c>
      <c r="C62" s="75"/>
      <c r="D62" s="75"/>
      <c r="E62" s="75"/>
      <c r="F62" s="76"/>
      <c r="G62" s="6"/>
      <c r="H62" s="6"/>
      <c r="I62" s="62"/>
    </row>
    <row r="63" spans="1:11" ht="15.75" x14ac:dyDescent="0.25">
      <c r="A63" s="61"/>
      <c r="B63" s="66"/>
      <c r="C63" s="6"/>
      <c r="D63" s="6"/>
      <c r="E63" s="6"/>
      <c r="F63" s="67"/>
      <c r="G63" s="6"/>
      <c r="H63" s="6"/>
      <c r="I63" s="62"/>
    </row>
    <row r="64" spans="1:11" ht="31.5" x14ac:dyDescent="0.25">
      <c r="A64" s="61"/>
      <c r="B64" s="109" t="s">
        <v>113</v>
      </c>
      <c r="C64" s="109" t="s">
        <v>114</v>
      </c>
      <c r="D64" s="109" t="s">
        <v>115</v>
      </c>
      <c r="E64" s="69" t="s">
        <v>64</v>
      </c>
      <c r="F64" s="69" t="s">
        <v>20</v>
      </c>
      <c r="G64" s="6"/>
      <c r="H64" s="6"/>
      <c r="I64" s="62"/>
    </row>
    <row r="65" spans="1:11" ht="15.75" x14ac:dyDescent="0.25">
      <c r="A65" s="61"/>
      <c r="B65" s="110">
        <v>1.859</v>
      </c>
      <c r="C65" s="110">
        <v>0.59299999999999997</v>
      </c>
      <c r="D65" s="110">
        <f>B65*C65</f>
        <v>1.102387</v>
      </c>
      <c r="E65" s="72">
        <v>50</v>
      </c>
      <c r="F65" s="73">
        <f>D65*E65</f>
        <v>55.119349999999997</v>
      </c>
      <c r="G65" s="6"/>
      <c r="H65" s="6"/>
      <c r="I65" s="62"/>
    </row>
    <row r="66" spans="1:11" ht="15.75" x14ac:dyDescent="0.25">
      <c r="A66" s="61"/>
      <c r="B66" s="66"/>
      <c r="C66" s="6"/>
      <c r="D66" s="6"/>
      <c r="E66" s="6"/>
      <c r="F66" s="67"/>
      <c r="G66" s="6"/>
      <c r="H66" s="6"/>
      <c r="I66" s="62"/>
    </row>
    <row r="67" spans="1:11" ht="15.75" x14ac:dyDescent="0.25">
      <c r="A67" s="61"/>
      <c r="B67" s="74" t="s">
        <v>65</v>
      </c>
      <c r="C67" s="75"/>
      <c r="D67" s="75"/>
      <c r="E67" s="75"/>
      <c r="F67" s="76"/>
      <c r="G67" s="6"/>
      <c r="H67" s="6"/>
      <c r="I67" s="62"/>
    </row>
    <row r="68" spans="1:11" ht="15.75" x14ac:dyDescent="0.25">
      <c r="A68" s="61"/>
      <c r="B68" s="66"/>
      <c r="C68" s="6"/>
      <c r="D68" s="6"/>
      <c r="E68" s="6"/>
      <c r="F68" s="67"/>
      <c r="G68" s="6"/>
      <c r="H68" s="6"/>
      <c r="I68" s="62"/>
    </row>
    <row r="69" spans="1:11" ht="32.25" thickBot="1" x14ac:dyDescent="0.3">
      <c r="A69" s="61"/>
      <c r="B69" s="4" t="s">
        <v>66</v>
      </c>
      <c r="C69" s="69" t="s">
        <v>64</v>
      </c>
      <c r="D69" s="69" t="s">
        <v>20</v>
      </c>
      <c r="E69" s="6"/>
      <c r="F69" s="67"/>
      <c r="G69" s="6"/>
      <c r="H69" s="6"/>
      <c r="I69" s="62"/>
    </row>
    <row r="70" spans="1:11" ht="16.5" thickBot="1" x14ac:dyDescent="0.3">
      <c r="A70" s="77"/>
      <c r="B70" s="78">
        <f>(B65+C65)*2</f>
        <v>4.9039999999999999</v>
      </c>
      <c r="C70" s="78">
        <v>5</v>
      </c>
      <c r="D70" s="79">
        <f>B70*C70</f>
        <v>24.52</v>
      </c>
      <c r="E70" s="80"/>
      <c r="F70" s="80"/>
      <c r="G70" s="81">
        <f>F60+F65+D70</f>
        <v>456.95616000000007</v>
      </c>
      <c r="H70" s="80">
        <v>2</v>
      </c>
      <c r="I70" s="82">
        <f>G70*H70</f>
        <v>913.91232000000014</v>
      </c>
    </row>
    <row r="71" spans="1:11" ht="12" thickBot="1" x14ac:dyDescent="0.25"/>
    <row r="72" spans="1:11" ht="15.75" x14ac:dyDescent="0.25">
      <c r="A72" s="58">
        <v>5</v>
      </c>
      <c r="B72" s="288"/>
      <c r="C72" s="288"/>
      <c r="D72" s="288"/>
      <c r="E72" s="59"/>
      <c r="F72" s="59"/>
      <c r="G72" s="59"/>
      <c r="H72" s="59"/>
      <c r="I72" s="60"/>
    </row>
    <row r="73" spans="1:11" ht="15.75" x14ac:dyDescent="0.25">
      <c r="A73" s="61"/>
      <c r="B73" s="6"/>
      <c r="C73" s="6"/>
      <c r="D73" s="6"/>
      <c r="E73" s="6"/>
      <c r="F73" s="6"/>
      <c r="G73" s="6"/>
      <c r="H73" s="6"/>
      <c r="I73" s="62"/>
    </row>
    <row r="74" spans="1:11" ht="15.75" x14ac:dyDescent="0.25">
      <c r="A74" s="61"/>
      <c r="B74" s="63" t="s">
        <v>32</v>
      </c>
      <c r="C74" s="64"/>
      <c r="D74" s="64"/>
      <c r="E74" s="64"/>
      <c r="F74" s="65"/>
      <c r="G74" s="6"/>
      <c r="H74" s="6"/>
      <c r="I74" s="62"/>
    </row>
    <row r="75" spans="1:11" ht="15.75" x14ac:dyDescent="0.25">
      <c r="A75" s="61"/>
      <c r="B75" s="66"/>
      <c r="C75" s="6"/>
      <c r="D75" s="6"/>
      <c r="E75" s="6"/>
      <c r="F75" s="67"/>
      <c r="G75" s="6"/>
      <c r="H75" s="6"/>
      <c r="I75" s="62"/>
    </row>
    <row r="76" spans="1:11" ht="31.5" x14ac:dyDescent="0.25">
      <c r="A76" s="61"/>
      <c r="B76" s="68" t="s">
        <v>57</v>
      </c>
      <c r="C76" s="69" t="s">
        <v>19</v>
      </c>
      <c r="D76" s="69" t="s">
        <v>58</v>
      </c>
      <c r="E76" s="69" t="s">
        <v>59</v>
      </c>
      <c r="F76" s="69" t="s">
        <v>20</v>
      </c>
      <c r="G76" s="70" t="s">
        <v>60</v>
      </c>
      <c r="H76" s="70" t="s">
        <v>61</v>
      </c>
      <c r="I76" s="71" t="s">
        <v>62</v>
      </c>
    </row>
    <row r="77" spans="1:11" ht="15.75" x14ac:dyDescent="0.25">
      <c r="A77" s="61"/>
      <c r="B77" s="4">
        <v>4.5599999999999996</v>
      </c>
      <c r="C77" s="72">
        <v>78</v>
      </c>
      <c r="D77" s="4">
        <v>1.01</v>
      </c>
      <c r="E77" s="4">
        <v>1.03</v>
      </c>
      <c r="F77" s="73">
        <f>B77*C77*D77*E77</f>
        <v>370.01390399999997</v>
      </c>
      <c r="G77" s="6"/>
      <c r="H77" s="6"/>
      <c r="I77" s="62"/>
      <c r="J77" s="83">
        <f>F77*H87</f>
        <v>370.01390399999997</v>
      </c>
      <c r="K77">
        <f>B77*H87</f>
        <v>4.5599999999999996</v>
      </c>
    </row>
    <row r="78" spans="1:11" ht="15.75" x14ac:dyDescent="0.25">
      <c r="A78" s="61"/>
      <c r="B78" s="66"/>
      <c r="C78" s="6"/>
      <c r="D78" s="6"/>
      <c r="E78" s="6"/>
      <c r="F78" s="67"/>
      <c r="G78" s="6"/>
      <c r="H78" s="6"/>
      <c r="I78" s="62"/>
    </row>
    <row r="79" spans="1:11" ht="15.75" x14ac:dyDescent="0.25">
      <c r="A79" s="61"/>
      <c r="B79" s="74" t="s">
        <v>63</v>
      </c>
      <c r="C79" s="75"/>
      <c r="D79" s="75"/>
      <c r="E79" s="75"/>
      <c r="F79" s="76"/>
      <c r="G79" s="6"/>
      <c r="H79" s="6"/>
      <c r="I79" s="62"/>
    </row>
    <row r="80" spans="1:11" ht="15.75" x14ac:dyDescent="0.25">
      <c r="A80" s="61"/>
      <c r="B80" s="66"/>
      <c r="C80" s="6"/>
      <c r="D80" s="6"/>
      <c r="E80" s="6"/>
      <c r="F80" s="67"/>
      <c r="G80" s="6"/>
      <c r="H80" s="6"/>
      <c r="I80" s="62"/>
    </row>
    <row r="81" spans="1:11" ht="31.5" x14ac:dyDescent="0.25">
      <c r="A81" s="61"/>
      <c r="B81" s="109" t="s">
        <v>113</v>
      </c>
      <c r="C81" s="109" t="s">
        <v>114</v>
      </c>
      <c r="D81" s="109" t="s">
        <v>115</v>
      </c>
      <c r="E81" s="69" t="s">
        <v>64</v>
      </c>
      <c r="F81" s="69" t="s">
        <v>20</v>
      </c>
      <c r="G81" s="6"/>
      <c r="H81" s="6"/>
      <c r="I81" s="62"/>
    </row>
    <row r="82" spans="1:11" ht="15.75" x14ac:dyDescent="0.25">
      <c r="A82" s="61"/>
      <c r="B82" s="110">
        <v>1.859</v>
      </c>
      <c r="C82" s="110">
        <v>0.56799999999999995</v>
      </c>
      <c r="D82" s="110">
        <f>B82*C82</f>
        <v>1.055912</v>
      </c>
      <c r="E82" s="72">
        <v>50</v>
      </c>
      <c r="F82" s="73">
        <f>D82*E82</f>
        <v>52.7956</v>
      </c>
      <c r="G82" s="6"/>
      <c r="H82" s="6"/>
      <c r="I82" s="62"/>
    </row>
    <row r="83" spans="1:11" ht="15.75" x14ac:dyDescent="0.25">
      <c r="A83" s="61"/>
      <c r="B83" s="66"/>
      <c r="C83" s="6"/>
      <c r="D83" s="6"/>
      <c r="E83" s="6"/>
      <c r="F83" s="67"/>
      <c r="G83" s="6"/>
      <c r="H83" s="6"/>
      <c r="I83" s="62"/>
    </row>
    <row r="84" spans="1:11" ht="15.75" x14ac:dyDescent="0.25">
      <c r="A84" s="61"/>
      <c r="B84" s="74" t="s">
        <v>65</v>
      </c>
      <c r="C84" s="75"/>
      <c r="D84" s="75"/>
      <c r="E84" s="75"/>
      <c r="F84" s="76"/>
      <c r="G84" s="6"/>
      <c r="H84" s="6"/>
      <c r="I84" s="62"/>
    </row>
    <row r="85" spans="1:11" ht="15.75" x14ac:dyDescent="0.25">
      <c r="A85" s="61"/>
      <c r="B85" s="66"/>
      <c r="C85" s="6"/>
      <c r="D85" s="6"/>
      <c r="E85" s="6"/>
      <c r="F85" s="67"/>
      <c r="G85" s="6"/>
      <c r="H85" s="6"/>
      <c r="I85" s="62"/>
    </row>
    <row r="86" spans="1:11" ht="32.25" thickBot="1" x14ac:dyDescent="0.3">
      <c r="A86" s="61"/>
      <c r="B86" s="4" t="s">
        <v>66</v>
      </c>
      <c r="C86" s="69" t="s">
        <v>64</v>
      </c>
      <c r="D86" s="69" t="s">
        <v>20</v>
      </c>
      <c r="E86" s="6"/>
      <c r="F86" s="67"/>
      <c r="G86" s="6"/>
      <c r="H86" s="6"/>
      <c r="I86" s="62"/>
    </row>
    <row r="87" spans="1:11" ht="16.5" thickBot="1" x14ac:dyDescent="0.3">
      <c r="A87" s="77"/>
      <c r="B87" s="78">
        <f>(B82+C82)*2</f>
        <v>4.8540000000000001</v>
      </c>
      <c r="C87" s="78">
        <v>5</v>
      </c>
      <c r="D87" s="79">
        <f>B87*C87</f>
        <v>24.27</v>
      </c>
      <c r="E87" s="80"/>
      <c r="F87" s="80"/>
      <c r="G87" s="81">
        <f>F77+F82+D87</f>
        <v>447.07950399999993</v>
      </c>
      <c r="H87" s="80">
        <v>1</v>
      </c>
      <c r="I87" s="82">
        <f>G87*H87</f>
        <v>447.07950399999993</v>
      </c>
    </row>
    <row r="88" spans="1:11" ht="12" thickBot="1" x14ac:dyDescent="0.25"/>
    <row r="89" spans="1:11" ht="15.75" x14ac:dyDescent="0.25">
      <c r="A89" s="58">
        <v>6</v>
      </c>
      <c r="B89" s="288"/>
      <c r="C89" s="288"/>
      <c r="D89" s="288"/>
      <c r="E89" s="59"/>
      <c r="F89" s="59"/>
      <c r="G89" s="59"/>
      <c r="H89" s="59"/>
      <c r="I89" s="60"/>
    </row>
    <row r="90" spans="1:11" ht="15.75" x14ac:dyDescent="0.25">
      <c r="A90" s="61"/>
      <c r="B90" s="6"/>
      <c r="C90" s="6"/>
      <c r="D90" s="6"/>
      <c r="E90" s="6"/>
      <c r="F90" s="6"/>
      <c r="G90" s="6"/>
      <c r="H90" s="6"/>
      <c r="I90" s="62"/>
    </row>
    <row r="91" spans="1:11" ht="15.75" x14ac:dyDescent="0.25">
      <c r="A91" s="61"/>
      <c r="B91" s="63" t="s">
        <v>32</v>
      </c>
      <c r="C91" s="64"/>
      <c r="D91" s="64"/>
      <c r="E91" s="64"/>
      <c r="F91" s="65"/>
      <c r="G91" s="6"/>
      <c r="H91" s="6"/>
      <c r="I91" s="62"/>
    </row>
    <row r="92" spans="1:11" ht="15.75" x14ac:dyDescent="0.25">
      <c r="A92" s="61"/>
      <c r="B92" s="66"/>
      <c r="C92" s="6"/>
      <c r="D92" s="6"/>
      <c r="E92" s="6"/>
      <c r="F92" s="67"/>
      <c r="G92" s="6"/>
      <c r="H92" s="6"/>
      <c r="I92" s="62"/>
    </row>
    <row r="93" spans="1:11" ht="31.5" x14ac:dyDescent="0.25">
      <c r="A93" s="61"/>
      <c r="B93" s="68" t="s">
        <v>57</v>
      </c>
      <c r="C93" s="69" t="s">
        <v>19</v>
      </c>
      <c r="D93" s="69" t="s">
        <v>58</v>
      </c>
      <c r="E93" s="69" t="s">
        <v>59</v>
      </c>
      <c r="F93" s="69" t="s">
        <v>20</v>
      </c>
      <c r="G93" s="70" t="s">
        <v>60</v>
      </c>
      <c r="H93" s="70" t="s">
        <v>61</v>
      </c>
      <c r="I93" s="71" t="s">
        <v>62</v>
      </c>
    </row>
    <row r="94" spans="1:11" ht="15.75" x14ac:dyDescent="0.25">
      <c r="A94" s="61"/>
      <c r="B94" s="4">
        <v>0</v>
      </c>
      <c r="C94" s="72">
        <v>60</v>
      </c>
      <c r="D94" s="4">
        <v>1.01</v>
      </c>
      <c r="E94" s="4">
        <v>1.03</v>
      </c>
      <c r="F94" s="73">
        <f>B94*C94*D94*E94</f>
        <v>0</v>
      </c>
      <c r="G94" s="6"/>
      <c r="H94" s="6"/>
      <c r="I94" s="62"/>
      <c r="J94" s="83">
        <f>F94*H104</f>
        <v>0</v>
      </c>
      <c r="K94">
        <f>B94*H104</f>
        <v>0</v>
      </c>
    </row>
    <row r="95" spans="1:11" ht="15.75" x14ac:dyDescent="0.25">
      <c r="A95" s="61"/>
      <c r="B95" s="66"/>
      <c r="C95" s="6"/>
      <c r="D95" s="6"/>
      <c r="E95" s="6"/>
      <c r="F95" s="67"/>
      <c r="G95" s="6"/>
      <c r="H95" s="6"/>
      <c r="I95" s="62"/>
    </row>
    <row r="96" spans="1:11" ht="15.75" x14ac:dyDescent="0.25">
      <c r="A96" s="61"/>
      <c r="B96" s="74" t="s">
        <v>63</v>
      </c>
      <c r="C96" s="75"/>
      <c r="D96" s="75"/>
      <c r="E96" s="75"/>
      <c r="F96" s="76"/>
      <c r="G96" s="6"/>
      <c r="H96" s="6"/>
      <c r="I96" s="62"/>
    </row>
    <row r="97" spans="1:11" ht="15.75" x14ac:dyDescent="0.25">
      <c r="A97" s="61"/>
      <c r="B97" s="66"/>
      <c r="C97" s="6"/>
      <c r="D97" s="6"/>
      <c r="E97" s="6"/>
      <c r="F97" s="67"/>
      <c r="G97" s="6"/>
      <c r="H97" s="6"/>
      <c r="I97" s="62"/>
    </row>
    <row r="98" spans="1:11" ht="31.5" x14ac:dyDescent="0.25">
      <c r="A98" s="61"/>
      <c r="B98" s="109" t="s">
        <v>113</v>
      </c>
      <c r="C98" s="109" t="s">
        <v>114</v>
      </c>
      <c r="D98" s="109" t="s">
        <v>115</v>
      </c>
      <c r="E98" s="69" t="s">
        <v>64</v>
      </c>
      <c r="F98" s="69" t="s">
        <v>20</v>
      </c>
      <c r="G98" s="6"/>
      <c r="H98" s="6"/>
      <c r="I98" s="62"/>
    </row>
    <row r="99" spans="1:11" ht="15.75" x14ac:dyDescent="0.25">
      <c r="A99" s="61"/>
      <c r="B99" s="110">
        <v>0</v>
      </c>
      <c r="C99" s="110">
        <v>0</v>
      </c>
      <c r="D99" s="110">
        <f>B99*C99</f>
        <v>0</v>
      </c>
      <c r="E99" s="72">
        <v>50</v>
      </c>
      <c r="F99" s="73">
        <f>D99*E99</f>
        <v>0</v>
      </c>
      <c r="G99" s="6"/>
      <c r="H99" s="6"/>
      <c r="I99" s="62"/>
    </row>
    <row r="100" spans="1:11" ht="15.75" x14ac:dyDescent="0.25">
      <c r="A100" s="61"/>
      <c r="B100" s="66"/>
      <c r="C100" s="6"/>
      <c r="D100" s="6"/>
      <c r="E100" s="6"/>
      <c r="F100" s="67"/>
      <c r="G100" s="6"/>
      <c r="H100" s="6"/>
      <c r="I100" s="62"/>
    </row>
    <row r="101" spans="1:11" ht="15.75" x14ac:dyDescent="0.25">
      <c r="A101" s="61"/>
      <c r="B101" s="74" t="s">
        <v>65</v>
      </c>
      <c r="C101" s="75"/>
      <c r="D101" s="75"/>
      <c r="E101" s="75"/>
      <c r="F101" s="76"/>
      <c r="G101" s="6"/>
      <c r="H101" s="6"/>
      <c r="I101" s="62"/>
    </row>
    <row r="102" spans="1:11" ht="15.75" x14ac:dyDescent="0.25">
      <c r="A102" s="61"/>
      <c r="B102" s="66"/>
      <c r="C102" s="6"/>
      <c r="D102" s="6"/>
      <c r="E102" s="6"/>
      <c r="F102" s="67"/>
      <c r="G102" s="6"/>
      <c r="H102" s="6"/>
      <c r="I102" s="62"/>
    </row>
    <row r="103" spans="1:11" ht="32.25" thickBot="1" x14ac:dyDescent="0.3">
      <c r="A103" s="61"/>
      <c r="B103" s="4" t="s">
        <v>66</v>
      </c>
      <c r="C103" s="69" t="s">
        <v>64</v>
      </c>
      <c r="D103" s="69" t="s">
        <v>20</v>
      </c>
      <c r="E103" s="6"/>
      <c r="F103" s="67"/>
      <c r="G103" s="6"/>
      <c r="H103" s="6"/>
      <c r="I103" s="62"/>
    </row>
    <row r="104" spans="1:11" ht="16.5" thickBot="1" x14ac:dyDescent="0.3">
      <c r="A104" s="77"/>
      <c r="B104" s="78">
        <f>(B99+C99)*2</f>
        <v>0</v>
      </c>
      <c r="C104" s="78">
        <v>5</v>
      </c>
      <c r="D104" s="79">
        <f>B104*C104</f>
        <v>0</v>
      </c>
      <c r="E104" s="80"/>
      <c r="F104" s="80"/>
      <c r="G104" s="81">
        <f>F94+F99+D104</f>
        <v>0</v>
      </c>
      <c r="H104" s="80">
        <v>1</v>
      </c>
      <c r="I104" s="82">
        <f>G104*H104</f>
        <v>0</v>
      </c>
    </row>
    <row r="105" spans="1:11" ht="12" thickBot="1" x14ac:dyDescent="0.25"/>
    <row r="106" spans="1:11" ht="15.75" x14ac:dyDescent="0.25">
      <c r="A106" s="58">
        <v>7</v>
      </c>
      <c r="B106" s="288"/>
      <c r="C106" s="288"/>
      <c r="D106" s="288"/>
      <c r="E106" s="59"/>
      <c r="F106" s="59"/>
      <c r="G106" s="59"/>
      <c r="H106" s="59"/>
      <c r="I106" s="60"/>
    </row>
    <row r="107" spans="1:11" ht="15.75" x14ac:dyDescent="0.25">
      <c r="A107" s="61"/>
      <c r="B107" s="6"/>
      <c r="C107" s="6"/>
      <c r="D107" s="6"/>
      <c r="E107" s="6"/>
      <c r="F107" s="6"/>
      <c r="G107" s="6"/>
      <c r="H107" s="6"/>
      <c r="I107" s="62"/>
    </row>
    <row r="108" spans="1:11" ht="15.75" x14ac:dyDescent="0.25">
      <c r="A108" s="61"/>
      <c r="B108" s="63" t="s">
        <v>32</v>
      </c>
      <c r="C108" s="64"/>
      <c r="D108" s="64"/>
      <c r="E108" s="64"/>
      <c r="F108" s="65"/>
      <c r="G108" s="6"/>
      <c r="H108" s="6"/>
      <c r="I108" s="62"/>
    </row>
    <row r="109" spans="1:11" ht="15.75" x14ac:dyDescent="0.25">
      <c r="A109" s="61"/>
      <c r="B109" s="66"/>
      <c r="C109" s="6"/>
      <c r="D109" s="6"/>
      <c r="E109" s="6"/>
      <c r="F109" s="67"/>
      <c r="G109" s="6"/>
      <c r="H109" s="6"/>
      <c r="I109" s="62"/>
    </row>
    <row r="110" spans="1:11" ht="31.5" x14ac:dyDescent="0.25">
      <c r="A110" s="61"/>
      <c r="B110" s="68" t="s">
        <v>57</v>
      </c>
      <c r="C110" s="69" t="s">
        <v>19</v>
      </c>
      <c r="D110" s="69" t="s">
        <v>58</v>
      </c>
      <c r="E110" s="69" t="s">
        <v>59</v>
      </c>
      <c r="F110" s="69" t="s">
        <v>20</v>
      </c>
      <c r="G110" s="70" t="s">
        <v>60</v>
      </c>
      <c r="H110" s="70" t="s">
        <v>61</v>
      </c>
      <c r="I110" s="71" t="s">
        <v>62</v>
      </c>
    </row>
    <row r="111" spans="1:11" ht="15.75" x14ac:dyDescent="0.25">
      <c r="A111" s="61"/>
      <c r="B111" s="4">
        <v>0</v>
      </c>
      <c r="C111" s="72">
        <v>60</v>
      </c>
      <c r="D111" s="4">
        <v>1.01</v>
      </c>
      <c r="E111" s="4">
        <v>1.03</v>
      </c>
      <c r="F111" s="73">
        <f>B111*C111*D111*E111</f>
        <v>0</v>
      </c>
      <c r="G111" s="6"/>
      <c r="H111" s="6"/>
      <c r="I111" s="62"/>
      <c r="J111" s="83">
        <f>F111*H121</f>
        <v>0</v>
      </c>
      <c r="K111">
        <f>B111*H121</f>
        <v>0</v>
      </c>
    </row>
    <row r="112" spans="1:11" ht="15.75" x14ac:dyDescent="0.25">
      <c r="A112" s="61"/>
      <c r="B112" s="66"/>
      <c r="C112" s="6"/>
      <c r="D112" s="6"/>
      <c r="E112" s="6"/>
      <c r="F112" s="67"/>
      <c r="G112" s="6"/>
      <c r="H112" s="6"/>
      <c r="I112" s="62"/>
    </row>
    <row r="113" spans="1:10" ht="15.75" x14ac:dyDescent="0.25">
      <c r="A113" s="61"/>
      <c r="B113" s="74" t="s">
        <v>63</v>
      </c>
      <c r="C113" s="75"/>
      <c r="D113" s="75"/>
      <c r="E113" s="75"/>
      <c r="F113" s="76"/>
      <c r="G113" s="6"/>
      <c r="H113" s="6"/>
      <c r="I113" s="62"/>
    </row>
    <row r="114" spans="1:10" ht="15.75" x14ac:dyDescent="0.25">
      <c r="A114" s="61"/>
      <c r="B114" s="66"/>
      <c r="C114" s="6"/>
      <c r="D114" s="6"/>
      <c r="E114" s="6"/>
      <c r="F114" s="67"/>
      <c r="G114" s="6"/>
      <c r="H114" s="6"/>
      <c r="I114" s="62"/>
    </row>
    <row r="115" spans="1:10" ht="31.5" x14ac:dyDescent="0.25">
      <c r="A115" s="61"/>
      <c r="B115" s="109" t="s">
        <v>113</v>
      </c>
      <c r="C115" s="109" t="s">
        <v>114</v>
      </c>
      <c r="D115" s="109" t="s">
        <v>115</v>
      </c>
      <c r="E115" s="69" t="s">
        <v>64</v>
      </c>
      <c r="F115" s="69" t="s">
        <v>20</v>
      </c>
      <c r="G115" s="6"/>
      <c r="H115" s="6"/>
      <c r="I115" s="62"/>
    </row>
    <row r="116" spans="1:10" ht="15.75" x14ac:dyDescent="0.25">
      <c r="A116" s="61"/>
      <c r="B116" s="110">
        <v>0</v>
      </c>
      <c r="C116" s="110">
        <v>0</v>
      </c>
      <c r="D116" s="110">
        <f>B116*C116</f>
        <v>0</v>
      </c>
      <c r="E116" s="72">
        <v>50</v>
      </c>
      <c r="F116" s="73">
        <f>D116*E116</f>
        <v>0</v>
      </c>
      <c r="G116" s="6"/>
      <c r="H116" s="6"/>
      <c r="I116" s="62"/>
    </row>
    <row r="117" spans="1:10" ht="15.75" x14ac:dyDescent="0.25">
      <c r="A117" s="61"/>
      <c r="B117" s="66"/>
      <c r="C117" s="6"/>
      <c r="D117" s="6"/>
      <c r="E117" s="6"/>
      <c r="F117" s="67"/>
      <c r="G117" s="6"/>
      <c r="H117" s="6"/>
      <c r="I117" s="62"/>
    </row>
    <row r="118" spans="1:10" ht="15.75" x14ac:dyDescent="0.25">
      <c r="A118" s="61"/>
      <c r="B118" s="74" t="s">
        <v>65</v>
      </c>
      <c r="C118" s="75"/>
      <c r="D118" s="75"/>
      <c r="E118" s="75"/>
      <c r="F118" s="76"/>
      <c r="G118" s="6"/>
      <c r="H118" s="6"/>
      <c r="I118" s="62"/>
    </row>
    <row r="119" spans="1:10" ht="15.75" x14ac:dyDescent="0.25">
      <c r="A119" s="61"/>
      <c r="B119" s="66"/>
      <c r="C119" s="6"/>
      <c r="D119" s="6"/>
      <c r="E119" s="6"/>
      <c r="F119" s="67"/>
      <c r="G119" s="6"/>
      <c r="H119" s="6"/>
      <c r="I119" s="62"/>
    </row>
    <row r="120" spans="1:10" ht="32.25" thickBot="1" x14ac:dyDescent="0.3">
      <c r="A120" s="61"/>
      <c r="B120" s="4" t="s">
        <v>66</v>
      </c>
      <c r="C120" s="69" t="s">
        <v>64</v>
      </c>
      <c r="D120" s="69" t="s">
        <v>20</v>
      </c>
      <c r="E120" s="6"/>
      <c r="F120" s="67"/>
      <c r="G120" s="6"/>
      <c r="H120" s="6"/>
      <c r="I120" s="62"/>
    </row>
    <row r="121" spans="1:10" ht="16.5" thickBot="1" x14ac:dyDescent="0.3">
      <c r="A121" s="77"/>
      <c r="B121" s="78">
        <f>(B116+C116)*2</f>
        <v>0</v>
      </c>
      <c r="C121" s="78">
        <v>5</v>
      </c>
      <c r="D121" s="79">
        <f>B121*C121</f>
        <v>0</v>
      </c>
      <c r="E121" s="80"/>
      <c r="F121" s="80"/>
      <c r="G121" s="81">
        <f>F111+F116+D121</f>
        <v>0</v>
      </c>
      <c r="H121" s="80">
        <v>1</v>
      </c>
      <c r="I121" s="82">
        <f>G121*H121</f>
        <v>0</v>
      </c>
    </row>
    <row r="122" spans="1:10" ht="12" thickBot="1" x14ac:dyDescent="0.25"/>
    <row r="123" spans="1:10" ht="15.75" x14ac:dyDescent="0.25">
      <c r="A123" s="58">
        <v>8</v>
      </c>
      <c r="B123" s="288"/>
      <c r="C123" s="288"/>
      <c r="D123" s="288"/>
      <c r="E123" s="59"/>
      <c r="F123" s="59"/>
      <c r="G123" s="59"/>
      <c r="H123" s="59"/>
      <c r="I123" s="60"/>
    </row>
    <row r="124" spans="1:10" ht="15.75" x14ac:dyDescent="0.25">
      <c r="A124" s="61"/>
      <c r="B124" s="6"/>
      <c r="C124" s="6"/>
      <c r="D124" s="6"/>
      <c r="E124" s="6"/>
      <c r="F124" s="6"/>
      <c r="G124" s="6"/>
      <c r="H124" s="6"/>
      <c r="I124" s="62"/>
    </row>
    <row r="125" spans="1:10" ht="15.75" x14ac:dyDescent="0.25">
      <c r="A125" s="61"/>
      <c r="B125" s="63" t="s">
        <v>32</v>
      </c>
      <c r="C125" s="64"/>
      <c r="D125" s="64"/>
      <c r="E125" s="64"/>
      <c r="F125" s="65"/>
      <c r="G125" s="6"/>
      <c r="H125" s="6"/>
      <c r="I125" s="62"/>
    </row>
    <row r="126" spans="1:10" ht="15.75" x14ac:dyDescent="0.25">
      <c r="A126" s="61"/>
      <c r="B126" s="66"/>
      <c r="C126" s="6"/>
      <c r="D126" s="6"/>
      <c r="E126" s="6"/>
      <c r="F126" s="67"/>
      <c r="G126" s="6"/>
      <c r="H126" s="6"/>
      <c r="I126" s="62"/>
    </row>
    <row r="127" spans="1:10" ht="31.5" x14ac:dyDescent="0.25">
      <c r="A127" s="61"/>
      <c r="B127" s="68" t="s">
        <v>57</v>
      </c>
      <c r="C127" s="69" t="s">
        <v>19</v>
      </c>
      <c r="D127" s="69" t="s">
        <v>58</v>
      </c>
      <c r="E127" s="69" t="s">
        <v>59</v>
      </c>
      <c r="F127" s="69" t="s">
        <v>20</v>
      </c>
      <c r="G127" s="70" t="s">
        <v>60</v>
      </c>
      <c r="H127" s="70" t="s">
        <v>61</v>
      </c>
      <c r="I127" s="71" t="s">
        <v>62</v>
      </c>
    </row>
    <row r="128" spans="1:10" ht="15.75" x14ac:dyDescent="0.25">
      <c r="A128" s="61"/>
      <c r="B128" s="4">
        <v>0</v>
      </c>
      <c r="C128" s="72">
        <v>60</v>
      </c>
      <c r="D128" s="4">
        <v>1.01</v>
      </c>
      <c r="E128" s="4">
        <v>1.03</v>
      </c>
      <c r="F128" s="73">
        <f>B128*C128*D128*E128</f>
        <v>0</v>
      </c>
      <c r="G128" s="6"/>
      <c r="H128" s="6"/>
      <c r="I128" s="62"/>
      <c r="J128" s="83">
        <f>F128*H138</f>
        <v>0</v>
      </c>
    </row>
    <row r="129" spans="1:9" ht="15.75" x14ac:dyDescent="0.25">
      <c r="A129" s="61"/>
      <c r="B129" s="66"/>
      <c r="C129" s="6"/>
      <c r="D129" s="6"/>
      <c r="E129" s="6"/>
      <c r="F129" s="67"/>
      <c r="G129" s="6"/>
      <c r="H129" s="6"/>
      <c r="I129" s="62"/>
    </row>
    <row r="130" spans="1:9" ht="15.75" x14ac:dyDescent="0.25">
      <c r="A130" s="61"/>
      <c r="B130" s="74" t="s">
        <v>63</v>
      </c>
      <c r="C130" s="75"/>
      <c r="D130" s="75"/>
      <c r="E130" s="75"/>
      <c r="F130" s="76"/>
      <c r="G130" s="6"/>
      <c r="H130" s="6"/>
      <c r="I130" s="62"/>
    </row>
    <row r="131" spans="1:9" ht="15.75" x14ac:dyDescent="0.25">
      <c r="A131" s="61"/>
      <c r="B131" s="66"/>
      <c r="C131" s="6"/>
      <c r="D131" s="6"/>
      <c r="E131" s="6"/>
      <c r="F131" s="67"/>
      <c r="G131" s="6"/>
      <c r="H131" s="6"/>
      <c r="I131" s="62"/>
    </row>
    <row r="132" spans="1:9" ht="31.5" x14ac:dyDescent="0.25">
      <c r="A132" s="61"/>
      <c r="B132" s="109" t="s">
        <v>113</v>
      </c>
      <c r="C132" s="109" t="s">
        <v>114</v>
      </c>
      <c r="D132" s="109" t="s">
        <v>115</v>
      </c>
      <c r="E132" s="69" t="s">
        <v>64</v>
      </c>
      <c r="F132" s="69" t="s">
        <v>20</v>
      </c>
      <c r="G132" s="6"/>
      <c r="H132" s="6"/>
      <c r="I132" s="62"/>
    </row>
    <row r="133" spans="1:9" ht="15.75" x14ac:dyDescent="0.25">
      <c r="A133" s="61"/>
      <c r="B133" s="110">
        <v>0</v>
      </c>
      <c r="C133" s="110">
        <v>0</v>
      </c>
      <c r="D133" s="110">
        <f>B133*C133</f>
        <v>0</v>
      </c>
      <c r="E133" s="72">
        <v>50</v>
      </c>
      <c r="F133" s="73">
        <f>D133*E133</f>
        <v>0</v>
      </c>
      <c r="G133" s="6"/>
      <c r="H133" s="6"/>
      <c r="I133" s="62"/>
    </row>
    <row r="134" spans="1:9" ht="15.75" x14ac:dyDescent="0.25">
      <c r="A134" s="61"/>
      <c r="B134" s="66"/>
      <c r="C134" s="6"/>
      <c r="D134" s="6"/>
      <c r="E134" s="6"/>
      <c r="F134" s="67"/>
      <c r="G134" s="6"/>
      <c r="H134" s="6"/>
      <c r="I134" s="62"/>
    </row>
    <row r="135" spans="1:9" ht="15.75" x14ac:dyDescent="0.25">
      <c r="A135" s="61"/>
      <c r="B135" s="74" t="s">
        <v>65</v>
      </c>
      <c r="C135" s="75"/>
      <c r="D135" s="75"/>
      <c r="E135" s="75"/>
      <c r="F135" s="76"/>
      <c r="G135" s="6"/>
      <c r="H135" s="6"/>
      <c r="I135" s="62"/>
    </row>
    <row r="136" spans="1:9" ht="15.75" x14ac:dyDescent="0.25">
      <c r="A136" s="61"/>
      <c r="B136" s="66"/>
      <c r="C136" s="6"/>
      <c r="D136" s="6"/>
      <c r="E136" s="6"/>
      <c r="F136" s="67"/>
      <c r="G136" s="6"/>
      <c r="H136" s="6"/>
      <c r="I136" s="62"/>
    </row>
    <row r="137" spans="1:9" ht="32.25" thickBot="1" x14ac:dyDescent="0.3">
      <c r="A137" s="61"/>
      <c r="B137" s="4" t="s">
        <v>66</v>
      </c>
      <c r="C137" s="69" t="s">
        <v>64</v>
      </c>
      <c r="D137" s="69" t="s">
        <v>20</v>
      </c>
      <c r="E137" s="6"/>
      <c r="F137" s="67"/>
      <c r="G137" s="6"/>
      <c r="H137" s="6"/>
      <c r="I137" s="62"/>
    </row>
    <row r="138" spans="1:9" ht="16.5" thickBot="1" x14ac:dyDescent="0.3">
      <c r="A138" s="77"/>
      <c r="B138" s="78">
        <f>(B133+C133)*2</f>
        <v>0</v>
      </c>
      <c r="C138" s="78">
        <v>5</v>
      </c>
      <c r="D138" s="79">
        <f>B138*C138</f>
        <v>0</v>
      </c>
      <c r="E138" s="80"/>
      <c r="F138" s="80"/>
      <c r="G138" s="81">
        <f>F128+F133+D138</f>
        <v>0</v>
      </c>
      <c r="H138" s="80">
        <v>1</v>
      </c>
      <c r="I138" s="82">
        <f>G138*H138</f>
        <v>0</v>
      </c>
    </row>
    <row r="139" spans="1:9" ht="12" thickBot="1" x14ac:dyDescent="0.25"/>
    <row r="140" spans="1:9" ht="15.75" x14ac:dyDescent="0.25">
      <c r="A140" s="58">
        <v>9</v>
      </c>
      <c r="B140" s="288"/>
      <c r="C140" s="288"/>
      <c r="D140" s="288"/>
      <c r="E140" s="59"/>
      <c r="F140" s="59"/>
      <c r="G140" s="59"/>
      <c r="H140" s="59"/>
      <c r="I140" s="60"/>
    </row>
    <row r="141" spans="1:9" ht="15.75" x14ac:dyDescent="0.25">
      <c r="A141" s="61"/>
      <c r="B141" s="6"/>
      <c r="C141" s="6"/>
      <c r="D141" s="6"/>
      <c r="E141" s="6"/>
      <c r="F141" s="6"/>
      <c r="G141" s="6"/>
      <c r="H141" s="6"/>
      <c r="I141" s="62"/>
    </row>
    <row r="142" spans="1:9" ht="15.75" x14ac:dyDescent="0.25">
      <c r="A142" s="61"/>
      <c r="B142" s="63" t="s">
        <v>32</v>
      </c>
      <c r="C142" s="64"/>
      <c r="D142" s="64"/>
      <c r="E142" s="64"/>
      <c r="F142" s="65"/>
      <c r="G142" s="6"/>
      <c r="H142" s="6"/>
      <c r="I142" s="62"/>
    </row>
    <row r="143" spans="1:9" ht="15.75" x14ac:dyDescent="0.25">
      <c r="A143" s="61"/>
      <c r="B143" s="66"/>
      <c r="C143" s="6"/>
      <c r="D143" s="6"/>
      <c r="E143" s="6"/>
      <c r="F143" s="67"/>
      <c r="G143" s="6"/>
      <c r="H143" s="6"/>
      <c r="I143" s="62"/>
    </row>
    <row r="144" spans="1:9" ht="31.5" x14ac:dyDescent="0.25">
      <c r="A144" s="61"/>
      <c r="B144" s="68" t="s">
        <v>57</v>
      </c>
      <c r="C144" s="69" t="s">
        <v>19</v>
      </c>
      <c r="D144" s="69" t="s">
        <v>58</v>
      </c>
      <c r="E144" s="69" t="s">
        <v>59</v>
      </c>
      <c r="F144" s="69" t="s">
        <v>20</v>
      </c>
      <c r="G144" s="70" t="s">
        <v>60</v>
      </c>
      <c r="H144" s="70" t="s">
        <v>61</v>
      </c>
      <c r="I144" s="71" t="s">
        <v>62</v>
      </c>
    </row>
    <row r="145" spans="1:11" ht="15.75" x14ac:dyDescent="0.25">
      <c r="A145" s="61"/>
      <c r="B145" s="4">
        <v>0</v>
      </c>
      <c r="C145" s="72">
        <v>60</v>
      </c>
      <c r="D145" s="4">
        <v>1.01</v>
      </c>
      <c r="E145" s="4">
        <v>1.03</v>
      </c>
      <c r="F145" s="73">
        <f>B145*C145*D145*E145</f>
        <v>0</v>
      </c>
      <c r="G145" s="6"/>
      <c r="H145" s="6"/>
      <c r="I145" s="62"/>
      <c r="J145" s="83">
        <f>F145*H155</f>
        <v>0</v>
      </c>
      <c r="K145">
        <f>B145*H155</f>
        <v>0</v>
      </c>
    </row>
    <row r="146" spans="1:11" ht="15.75" x14ac:dyDescent="0.25">
      <c r="A146" s="61"/>
      <c r="B146" s="66"/>
      <c r="C146" s="6"/>
      <c r="D146" s="6"/>
      <c r="E146" s="6"/>
      <c r="F146" s="67"/>
      <c r="G146" s="6"/>
      <c r="H146" s="6"/>
      <c r="I146" s="62"/>
    </row>
    <row r="147" spans="1:11" ht="15.75" x14ac:dyDescent="0.25">
      <c r="A147" s="61"/>
      <c r="B147" s="74" t="s">
        <v>63</v>
      </c>
      <c r="C147" s="75"/>
      <c r="D147" s="75"/>
      <c r="E147" s="75"/>
      <c r="F147" s="76"/>
      <c r="G147" s="6"/>
      <c r="H147" s="6"/>
      <c r="I147" s="62"/>
    </row>
    <row r="148" spans="1:11" ht="15.75" x14ac:dyDescent="0.25">
      <c r="A148" s="61"/>
      <c r="B148" s="66"/>
      <c r="C148" s="6"/>
      <c r="D148" s="6"/>
      <c r="E148" s="6"/>
      <c r="F148" s="67"/>
      <c r="G148" s="6"/>
      <c r="H148" s="6"/>
      <c r="I148" s="62"/>
    </row>
    <row r="149" spans="1:11" ht="31.5" x14ac:dyDescent="0.25">
      <c r="A149" s="61"/>
      <c r="B149" s="109" t="s">
        <v>113</v>
      </c>
      <c r="C149" s="109" t="s">
        <v>114</v>
      </c>
      <c r="D149" s="109" t="s">
        <v>115</v>
      </c>
      <c r="E149" s="69" t="s">
        <v>64</v>
      </c>
      <c r="F149" s="69" t="s">
        <v>20</v>
      </c>
      <c r="G149" s="6"/>
      <c r="H149" s="6"/>
      <c r="I149" s="62"/>
    </row>
    <row r="150" spans="1:11" ht="15.75" x14ac:dyDescent="0.25">
      <c r="A150" s="61"/>
      <c r="B150" s="110">
        <v>0</v>
      </c>
      <c r="C150" s="110">
        <v>0</v>
      </c>
      <c r="D150" s="110">
        <f>B150*C150</f>
        <v>0</v>
      </c>
      <c r="E150" s="72">
        <v>50</v>
      </c>
      <c r="F150" s="73">
        <f>D150*E150</f>
        <v>0</v>
      </c>
      <c r="G150" s="6"/>
      <c r="H150" s="6"/>
      <c r="I150" s="62"/>
    </row>
    <row r="151" spans="1:11" ht="15.75" x14ac:dyDescent="0.25">
      <c r="A151" s="61"/>
      <c r="B151" s="66"/>
      <c r="C151" s="6"/>
      <c r="D151" s="6"/>
      <c r="E151" s="6"/>
      <c r="F151" s="67"/>
      <c r="G151" s="6"/>
      <c r="H151" s="6"/>
      <c r="I151" s="62"/>
    </row>
    <row r="152" spans="1:11" ht="15.75" x14ac:dyDescent="0.25">
      <c r="A152" s="61"/>
      <c r="B152" s="74" t="s">
        <v>65</v>
      </c>
      <c r="C152" s="75"/>
      <c r="D152" s="75"/>
      <c r="E152" s="75"/>
      <c r="F152" s="76"/>
      <c r="G152" s="6"/>
      <c r="H152" s="6"/>
      <c r="I152" s="62"/>
    </row>
    <row r="153" spans="1:11" ht="15.75" x14ac:dyDescent="0.25">
      <c r="A153" s="61"/>
      <c r="B153" s="66"/>
      <c r="C153" s="6"/>
      <c r="D153" s="6"/>
      <c r="E153" s="6"/>
      <c r="F153" s="67"/>
      <c r="G153" s="6"/>
      <c r="H153" s="6"/>
      <c r="I153" s="62"/>
    </row>
    <row r="154" spans="1:11" ht="32.25" thickBot="1" x14ac:dyDescent="0.3">
      <c r="A154" s="61"/>
      <c r="B154" s="4" t="s">
        <v>66</v>
      </c>
      <c r="C154" s="69" t="s">
        <v>64</v>
      </c>
      <c r="D154" s="69" t="s">
        <v>20</v>
      </c>
      <c r="E154" s="6"/>
      <c r="F154" s="67"/>
      <c r="G154" s="6"/>
      <c r="H154" s="6"/>
      <c r="I154" s="62"/>
    </row>
    <row r="155" spans="1:11" ht="16.5" thickBot="1" x14ac:dyDescent="0.3">
      <c r="A155" s="77"/>
      <c r="B155" s="78">
        <f>(B150+C150)*2</f>
        <v>0</v>
      </c>
      <c r="C155" s="78">
        <v>5</v>
      </c>
      <c r="D155" s="79">
        <f>B155*C155</f>
        <v>0</v>
      </c>
      <c r="E155" s="80"/>
      <c r="F155" s="80"/>
      <c r="G155" s="81">
        <f>F145+F150+D155</f>
        <v>0</v>
      </c>
      <c r="H155" s="80">
        <v>1</v>
      </c>
      <c r="I155" s="82">
        <f>G155*H155</f>
        <v>0</v>
      </c>
    </row>
    <row r="156" spans="1:11" x14ac:dyDescent="0.2">
      <c r="H156" t="s">
        <v>70</v>
      </c>
      <c r="I156" s="83">
        <f>SUM(I19:I155)</f>
        <v>3852.5562999999997</v>
      </c>
      <c r="J156" s="83">
        <f>SUM(J9:J155)</f>
        <v>3205.1642999999999</v>
      </c>
      <c r="K156" t="s">
        <v>68</v>
      </c>
    </row>
    <row r="157" spans="1:11" x14ac:dyDescent="0.2">
      <c r="J157" s="83">
        <f>I156-J156</f>
        <v>647.39199999999983</v>
      </c>
      <c r="K157" t="s">
        <v>69</v>
      </c>
    </row>
    <row r="158" spans="1:11" x14ac:dyDescent="0.2">
      <c r="J158">
        <f>SUM(K9:K155)</f>
        <v>27.56</v>
      </c>
      <c r="K158" t="s">
        <v>176</v>
      </c>
    </row>
  </sheetData>
  <mergeCells count="10">
    <mergeCell ref="B4:D4"/>
    <mergeCell ref="B21:D21"/>
    <mergeCell ref="B38:D38"/>
    <mergeCell ref="B3:D3"/>
    <mergeCell ref="B55:D55"/>
    <mergeCell ref="B72:D72"/>
    <mergeCell ref="B89:D89"/>
    <mergeCell ref="B106:D106"/>
    <mergeCell ref="B123:D123"/>
    <mergeCell ref="B140:D14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38"/>
  <sheetViews>
    <sheetView workbookViewId="0">
      <pane xSplit="3" ySplit="2" topLeftCell="D3" activePane="bottomRight" state="frozen"/>
      <selection pane="topRight" activeCell="D1" sqref="D1"/>
      <selection pane="bottomLeft" activeCell="A3" sqref="A3"/>
      <selection pane="bottomRight" activeCell="F13" sqref="F13"/>
    </sheetView>
  </sheetViews>
  <sheetFormatPr defaultRowHeight="11.25" x14ac:dyDescent="0.2"/>
  <cols>
    <col min="1" max="1" width="9.33203125" customWidth="1"/>
    <col min="2" max="2" width="30" customWidth="1"/>
    <col min="3" max="3" width="28.6640625" customWidth="1"/>
    <col min="4" max="4" width="12.33203125" customWidth="1"/>
    <col min="5" max="5" width="18.1640625" customWidth="1"/>
    <col min="6" max="6" width="31.5" customWidth="1"/>
    <col min="7" max="7" width="16" customWidth="1"/>
    <col min="8" max="8" width="13.33203125" customWidth="1"/>
    <col min="9" max="9" width="10.33203125" customWidth="1"/>
    <col min="10" max="10" width="12" customWidth="1"/>
    <col min="11" max="11" width="17.33203125" customWidth="1"/>
    <col min="12" max="12" width="19.5" customWidth="1"/>
    <col min="13" max="13" width="35.83203125" customWidth="1"/>
    <col min="14" max="14" width="32.6640625" customWidth="1"/>
    <col min="15" max="15" width="36.6640625" customWidth="1"/>
    <col min="16" max="16" width="30.1640625" customWidth="1"/>
    <col min="17" max="17" width="38.6640625" customWidth="1"/>
    <col min="18" max="18" width="33" customWidth="1"/>
    <col min="19" max="19" width="16.33203125" customWidth="1"/>
    <col min="20" max="20" width="18" customWidth="1"/>
    <col min="21" max="22" width="16.5" customWidth="1"/>
  </cols>
  <sheetData>
    <row r="1" spans="1:22" ht="19.5" customHeight="1" x14ac:dyDescent="0.2">
      <c r="A1" s="290"/>
      <c r="B1" s="290"/>
      <c r="C1" s="290"/>
      <c r="D1" s="290"/>
      <c r="E1" s="290"/>
    </row>
    <row r="2" spans="1:22" s="93" customFormat="1" ht="64.5" customHeight="1" x14ac:dyDescent="0.2">
      <c r="A2" s="100" t="s">
        <v>29</v>
      </c>
      <c r="B2" s="101" t="s">
        <v>30</v>
      </c>
      <c r="C2" s="101" t="s">
        <v>2</v>
      </c>
      <c r="D2" s="101" t="s">
        <v>97</v>
      </c>
      <c r="E2" s="101" t="s">
        <v>96</v>
      </c>
      <c r="F2" s="101" t="s">
        <v>32</v>
      </c>
      <c r="G2" s="101" t="s">
        <v>33</v>
      </c>
      <c r="H2" s="101" t="s">
        <v>74</v>
      </c>
      <c r="I2" s="101" t="s">
        <v>84</v>
      </c>
      <c r="J2" s="101" t="s">
        <v>92</v>
      </c>
      <c r="K2" s="101" t="s">
        <v>94</v>
      </c>
      <c r="L2" s="101" t="s">
        <v>95</v>
      </c>
      <c r="M2" s="101" t="s">
        <v>93</v>
      </c>
      <c r="N2" s="101" t="s">
        <v>104</v>
      </c>
      <c r="O2" s="101" t="s">
        <v>105</v>
      </c>
      <c r="P2" s="101" t="s">
        <v>106</v>
      </c>
      <c r="Q2" s="101" t="s">
        <v>98</v>
      </c>
      <c r="R2" s="101" t="s">
        <v>99</v>
      </c>
      <c r="S2" s="101" t="s">
        <v>100</v>
      </c>
      <c r="T2" s="101" t="s">
        <v>101</v>
      </c>
      <c r="U2" s="101" t="s">
        <v>102</v>
      </c>
      <c r="V2" s="102" t="s">
        <v>103</v>
      </c>
    </row>
    <row r="3" spans="1:22" ht="15" x14ac:dyDescent="0.25">
      <c r="A3" s="98">
        <v>1</v>
      </c>
      <c r="B3" s="86" t="s">
        <v>324</v>
      </c>
      <c r="C3" s="86" t="s">
        <v>323</v>
      </c>
      <c r="D3" s="86">
        <v>2</v>
      </c>
      <c r="E3" s="86">
        <v>5</v>
      </c>
      <c r="F3" s="96" t="s">
        <v>86</v>
      </c>
      <c r="G3" s="86" t="s">
        <v>319</v>
      </c>
      <c r="H3" s="86">
        <v>0.39</v>
      </c>
      <c r="I3" s="86">
        <v>3</v>
      </c>
      <c r="J3" s="86">
        <v>1</v>
      </c>
      <c r="K3" s="86">
        <v>542.84</v>
      </c>
      <c r="L3" s="86">
        <v>94.25</v>
      </c>
      <c r="M3" s="86">
        <v>87</v>
      </c>
      <c r="N3" s="86">
        <v>25</v>
      </c>
      <c r="O3" s="95">
        <f>VLOOKUP(E3,'Прайс Лазер'!$I$4:$J$21,2,0)</f>
        <v>3.4499999999999997</v>
      </c>
      <c r="P3" s="86">
        <f>HLOOKUP('Оценка лазера'!$E3,'Прайс Лазер'!$C$26:$T$34,1+VLOOKUP(F3,'Прайс Лазер'!$A$26:$B$34,2,0),0)</f>
        <v>63.249999999999993</v>
      </c>
      <c r="Q3" s="86">
        <f t="shared" ref="Q3:Q18" si="0">H3*M3</f>
        <v>33.93</v>
      </c>
      <c r="R3" s="86">
        <f t="shared" ref="R3:R18" si="1">I3*N3</f>
        <v>75</v>
      </c>
      <c r="S3" s="86">
        <f t="shared" ref="S3:S18" si="2">(K3+L3)/1000*1.1*P3+(J3*O3)</f>
        <v>47.775536750000001</v>
      </c>
      <c r="T3" s="86">
        <f t="shared" ref="T3:T18" si="3">Q3+R3+S3</f>
        <v>156.70553675000002</v>
      </c>
      <c r="U3" s="86">
        <f t="shared" ref="U3:U18" si="4">D3*T3</f>
        <v>313.41107350000004</v>
      </c>
      <c r="V3" s="99">
        <f t="shared" ref="V3:V18" si="5">U3/1.2</f>
        <v>261.17589458333339</v>
      </c>
    </row>
    <row r="4" spans="1:22" ht="15" x14ac:dyDescent="0.25">
      <c r="A4" s="98">
        <f>A3+1</f>
        <v>2</v>
      </c>
      <c r="B4" s="86" t="s">
        <v>321</v>
      </c>
      <c r="C4" s="86" t="s">
        <v>317</v>
      </c>
      <c r="D4" s="86">
        <v>12</v>
      </c>
      <c r="E4" s="86">
        <v>2</v>
      </c>
      <c r="F4" s="96" t="s">
        <v>85</v>
      </c>
      <c r="G4" s="86" t="s">
        <v>319</v>
      </c>
      <c r="H4" s="86">
        <v>0.01</v>
      </c>
      <c r="I4" s="86">
        <v>2</v>
      </c>
      <c r="J4" s="86">
        <v>0</v>
      </c>
      <c r="K4" s="86">
        <v>121.59</v>
      </c>
      <c r="L4" s="86">
        <v>0</v>
      </c>
      <c r="M4" s="86">
        <v>94</v>
      </c>
      <c r="N4" s="86">
        <v>25</v>
      </c>
      <c r="O4" s="95">
        <f>VLOOKUP(E4,'Прайс Лазер'!$I$4:$J$21,2,0)</f>
        <v>2.2999999999999998</v>
      </c>
      <c r="P4" s="86">
        <f>HLOOKUP('Оценка лазера'!$E4,'Прайс Лазер'!$C$26:$T$34,1+VLOOKUP(F4,'Прайс Лазер'!$A$26:$B$34,2,0),0)</f>
        <v>28.749999999999996</v>
      </c>
      <c r="Q4" s="86">
        <f t="shared" si="0"/>
        <v>0.94000000000000006</v>
      </c>
      <c r="R4" s="86">
        <f t="shared" si="1"/>
        <v>50</v>
      </c>
      <c r="S4" s="86">
        <f t="shared" si="2"/>
        <v>3.8452837499999997</v>
      </c>
      <c r="T4" s="86">
        <f t="shared" si="3"/>
        <v>54.785283749999998</v>
      </c>
      <c r="U4" s="86">
        <f t="shared" si="4"/>
        <v>657.423405</v>
      </c>
      <c r="V4" s="99">
        <f t="shared" si="5"/>
        <v>547.85283750000008</v>
      </c>
    </row>
    <row r="5" spans="1:22" ht="15" x14ac:dyDescent="0.25">
      <c r="A5" s="98">
        <f t="shared" ref="A5:A68" si="6">A4+1</f>
        <v>3</v>
      </c>
      <c r="B5" s="86" t="s">
        <v>335</v>
      </c>
      <c r="C5" s="86" t="s">
        <v>336</v>
      </c>
      <c r="D5" s="86">
        <v>8</v>
      </c>
      <c r="E5" s="86">
        <v>5</v>
      </c>
      <c r="F5" s="96" t="s">
        <v>86</v>
      </c>
      <c r="G5" s="86" t="s">
        <v>327</v>
      </c>
      <c r="H5" s="86">
        <v>0.06</v>
      </c>
      <c r="I5" s="86">
        <v>0</v>
      </c>
      <c r="J5" s="86">
        <v>0</v>
      </c>
      <c r="K5" s="86">
        <v>153.13</v>
      </c>
      <c r="L5" s="86">
        <v>0</v>
      </c>
      <c r="M5" s="86">
        <v>87</v>
      </c>
      <c r="N5" s="86">
        <v>25</v>
      </c>
      <c r="O5" s="95">
        <f>VLOOKUP(E5,'Прайс Лазер'!$I$4:$J$21,2,0)</f>
        <v>3.4499999999999997</v>
      </c>
      <c r="P5" s="86">
        <f>HLOOKUP('Оценка лазера'!$E5,'Прайс Лазер'!$C$26:$T$34,1+VLOOKUP(F5,'Прайс Лазер'!$A$26:$B$34,2,0),0)</f>
        <v>63.249999999999993</v>
      </c>
      <c r="Q5" s="86">
        <f t="shared" si="0"/>
        <v>5.22</v>
      </c>
      <c r="R5" s="86">
        <f t="shared" si="1"/>
        <v>0</v>
      </c>
      <c r="S5" s="86">
        <f t="shared" si="2"/>
        <v>10.65401975</v>
      </c>
      <c r="T5" s="86">
        <f t="shared" si="3"/>
        <v>15.874019749999999</v>
      </c>
      <c r="U5" s="86">
        <f t="shared" si="4"/>
        <v>126.99215799999999</v>
      </c>
      <c r="V5" s="99">
        <f t="shared" si="5"/>
        <v>105.82679833333333</v>
      </c>
    </row>
    <row r="6" spans="1:22" ht="15" x14ac:dyDescent="0.25">
      <c r="A6" s="98">
        <f t="shared" si="6"/>
        <v>4</v>
      </c>
      <c r="B6" s="86" t="s">
        <v>325</v>
      </c>
      <c r="C6" s="86" t="s">
        <v>326</v>
      </c>
      <c r="D6" s="86">
        <v>4</v>
      </c>
      <c r="E6" s="86">
        <v>2</v>
      </c>
      <c r="F6" s="96" t="s">
        <v>85</v>
      </c>
      <c r="G6" s="86" t="s">
        <v>327</v>
      </c>
      <c r="H6" s="86">
        <v>0.02</v>
      </c>
      <c r="I6" s="86">
        <v>0</v>
      </c>
      <c r="J6" s="86">
        <v>0</v>
      </c>
      <c r="K6" s="86">
        <v>153.13</v>
      </c>
      <c r="L6" s="86">
        <v>0</v>
      </c>
      <c r="M6" s="86">
        <v>94</v>
      </c>
      <c r="N6" s="86">
        <v>25</v>
      </c>
      <c r="O6" s="95">
        <f>VLOOKUP(E6,'Прайс Лазер'!$I$4:$J$21,2,0)</f>
        <v>2.2999999999999998</v>
      </c>
      <c r="P6" s="86">
        <f>HLOOKUP('Оценка лазера'!$E6,'Прайс Лазер'!$C$26:$T$34,1+VLOOKUP(F6,'Прайс Лазер'!$A$26:$B$34,2,0),0)</f>
        <v>28.749999999999996</v>
      </c>
      <c r="Q6" s="86">
        <f t="shared" si="0"/>
        <v>1.8800000000000001</v>
      </c>
      <c r="R6" s="86">
        <f t="shared" si="1"/>
        <v>0</v>
      </c>
      <c r="S6" s="86">
        <f t="shared" si="2"/>
        <v>4.8427362499999997</v>
      </c>
      <c r="T6" s="86">
        <f t="shared" si="3"/>
        <v>6.7227362499999996</v>
      </c>
      <c r="U6" s="86">
        <f t="shared" si="4"/>
        <v>26.890944999999999</v>
      </c>
      <c r="V6" s="99">
        <f t="shared" si="5"/>
        <v>22.409120833333333</v>
      </c>
    </row>
    <row r="7" spans="1:22" ht="15" x14ac:dyDescent="0.25">
      <c r="A7" s="98">
        <f t="shared" si="6"/>
        <v>5</v>
      </c>
      <c r="B7" s="86" t="s">
        <v>322</v>
      </c>
      <c r="C7" s="86" t="s">
        <v>323</v>
      </c>
      <c r="D7" s="86">
        <v>2</v>
      </c>
      <c r="E7" s="86">
        <v>5</v>
      </c>
      <c r="F7" s="96" t="s">
        <v>86</v>
      </c>
      <c r="G7" s="86" t="s">
        <v>319</v>
      </c>
      <c r="H7" s="86">
        <v>0.39</v>
      </c>
      <c r="I7" s="86">
        <v>3</v>
      </c>
      <c r="J7" s="86">
        <v>1</v>
      </c>
      <c r="K7" s="86">
        <v>542.84</v>
      </c>
      <c r="L7" s="86">
        <v>94.25</v>
      </c>
      <c r="M7" s="86">
        <v>87</v>
      </c>
      <c r="N7" s="86">
        <v>25</v>
      </c>
      <c r="O7" s="95">
        <f>VLOOKUP(E7,'Прайс Лазер'!$I$4:$J$21,2,0)</f>
        <v>3.4499999999999997</v>
      </c>
      <c r="P7" s="86">
        <f>HLOOKUP('Оценка лазера'!$E7,'Прайс Лазер'!$C$26:$T$34,1+VLOOKUP(F7,'Прайс Лазер'!$A$26:$B$34,2,0),0)</f>
        <v>63.249999999999993</v>
      </c>
      <c r="Q7" s="86">
        <f t="shared" si="0"/>
        <v>33.93</v>
      </c>
      <c r="R7" s="86">
        <f t="shared" si="1"/>
        <v>75</v>
      </c>
      <c r="S7" s="86">
        <f t="shared" si="2"/>
        <v>47.775536750000001</v>
      </c>
      <c r="T7" s="86">
        <f t="shared" si="3"/>
        <v>156.70553675000002</v>
      </c>
      <c r="U7" s="86">
        <f t="shared" si="4"/>
        <v>313.41107350000004</v>
      </c>
      <c r="V7" s="99">
        <f t="shared" si="5"/>
        <v>261.17589458333339</v>
      </c>
    </row>
    <row r="8" spans="1:22" ht="15" x14ac:dyDescent="0.25">
      <c r="A8" s="98">
        <f t="shared" si="6"/>
        <v>6</v>
      </c>
      <c r="B8" s="86" t="s">
        <v>316</v>
      </c>
      <c r="C8" s="86" t="s">
        <v>317</v>
      </c>
      <c r="D8" s="86">
        <v>4</v>
      </c>
      <c r="E8" s="86">
        <v>2</v>
      </c>
      <c r="F8" s="96" t="s">
        <v>85</v>
      </c>
      <c r="G8" s="86" t="s">
        <v>319</v>
      </c>
      <c r="H8" s="86">
        <v>0.04</v>
      </c>
      <c r="I8" s="86">
        <v>2</v>
      </c>
      <c r="J8" s="86">
        <v>1</v>
      </c>
      <c r="K8" s="86">
        <v>207.59</v>
      </c>
      <c r="L8" s="86">
        <v>31.52</v>
      </c>
      <c r="M8" s="86">
        <v>94</v>
      </c>
      <c r="N8" s="86">
        <v>25</v>
      </c>
      <c r="O8" s="95">
        <f>VLOOKUP(E8,'Прайс Лазер'!$I$4:$J$21,2,0)</f>
        <v>2.2999999999999998</v>
      </c>
      <c r="P8" s="86">
        <f>HLOOKUP('Оценка лазера'!$E8,'Прайс Лазер'!$C$26:$T$34,1+VLOOKUP(F8,'Прайс Лазер'!$A$26:$B$34,2,0),0)</f>
        <v>28.749999999999996</v>
      </c>
      <c r="Q8" s="86">
        <f t="shared" si="0"/>
        <v>3.7600000000000002</v>
      </c>
      <c r="R8" s="86">
        <f t="shared" si="1"/>
        <v>50</v>
      </c>
      <c r="S8" s="86">
        <f t="shared" si="2"/>
        <v>9.8618537500000016</v>
      </c>
      <c r="T8" s="86">
        <f t="shared" si="3"/>
        <v>63.62185375</v>
      </c>
      <c r="U8" s="86">
        <f t="shared" si="4"/>
        <v>254.487415</v>
      </c>
      <c r="V8" s="99">
        <f t="shared" si="5"/>
        <v>212.07284583333333</v>
      </c>
    </row>
    <row r="9" spans="1:22" ht="15" x14ac:dyDescent="0.25">
      <c r="A9" s="98">
        <f t="shared" si="6"/>
        <v>7</v>
      </c>
      <c r="B9" s="86" t="s">
        <v>333</v>
      </c>
      <c r="C9" s="86" t="s">
        <v>334</v>
      </c>
      <c r="D9" s="86">
        <v>2</v>
      </c>
      <c r="E9" s="86">
        <v>5</v>
      </c>
      <c r="F9" s="96" t="s">
        <v>86</v>
      </c>
      <c r="G9" s="86" t="s">
        <v>327</v>
      </c>
      <c r="H9" s="86">
        <v>0.06</v>
      </c>
      <c r="I9" s="86">
        <v>0</v>
      </c>
      <c r="J9" s="86">
        <v>0</v>
      </c>
      <c r="K9" s="86">
        <v>152.27000000000001</v>
      </c>
      <c r="L9" s="86">
        <v>0</v>
      </c>
      <c r="M9" s="86">
        <v>94</v>
      </c>
      <c r="N9" s="86">
        <v>25</v>
      </c>
      <c r="O9" s="95">
        <f>VLOOKUP(E9,'Прайс Лазер'!$I$4:$J$21,2,0)</f>
        <v>3.4499999999999997</v>
      </c>
      <c r="P9" s="86">
        <f>HLOOKUP('Оценка лазера'!$E9,'Прайс Лазер'!$C$26:$T$34,1+VLOOKUP(F9,'Прайс Лазер'!$A$26:$B$34,2,0),0)</f>
        <v>63.249999999999993</v>
      </c>
      <c r="Q9" s="86">
        <f t="shared" si="0"/>
        <v>5.64</v>
      </c>
      <c r="R9" s="86">
        <f t="shared" si="1"/>
        <v>0</v>
      </c>
      <c r="S9" s="86">
        <f t="shared" si="2"/>
        <v>10.594185250000001</v>
      </c>
      <c r="T9" s="86">
        <f t="shared" si="3"/>
        <v>16.234185249999999</v>
      </c>
      <c r="U9" s="86">
        <f t="shared" si="4"/>
        <v>32.468370499999999</v>
      </c>
      <c r="V9" s="99">
        <f t="shared" si="5"/>
        <v>27.056975416666667</v>
      </c>
    </row>
    <row r="10" spans="1:22" ht="15" x14ac:dyDescent="0.25">
      <c r="A10" s="98">
        <f t="shared" si="6"/>
        <v>8</v>
      </c>
      <c r="B10" s="86" t="s">
        <v>332</v>
      </c>
      <c r="C10" s="86" t="s">
        <v>326</v>
      </c>
      <c r="D10" s="86">
        <v>4</v>
      </c>
      <c r="E10" s="86">
        <v>5</v>
      </c>
      <c r="F10" s="96" t="s">
        <v>86</v>
      </c>
      <c r="G10" s="86" t="s">
        <v>327</v>
      </c>
      <c r="H10" s="86">
        <v>0.1</v>
      </c>
      <c r="I10" s="86">
        <v>0</v>
      </c>
      <c r="J10" s="86">
        <v>0</v>
      </c>
      <c r="K10" s="86">
        <v>189.7</v>
      </c>
      <c r="L10" s="86">
        <v>0</v>
      </c>
      <c r="M10" s="86">
        <v>0</v>
      </c>
      <c r="N10" s="86">
        <v>25</v>
      </c>
      <c r="O10" s="95">
        <f>VLOOKUP(E10,'Прайс Лазер'!$I$4:$J$21,2,0)</f>
        <v>3.4499999999999997</v>
      </c>
      <c r="P10" s="86">
        <f>HLOOKUP('Оценка лазера'!$E10,'Прайс Лазер'!$C$26:$T$34,1+VLOOKUP(F10,'Прайс Лазер'!$A$26:$B$34,2,0),0)</f>
        <v>63.249999999999993</v>
      </c>
      <c r="Q10" s="86">
        <f t="shared" si="0"/>
        <v>0</v>
      </c>
      <c r="R10" s="86">
        <f t="shared" si="1"/>
        <v>0</v>
      </c>
      <c r="S10" s="86">
        <f t="shared" si="2"/>
        <v>13.198377499999998</v>
      </c>
      <c r="T10" s="86">
        <f t="shared" si="3"/>
        <v>13.198377499999998</v>
      </c>
      <c r="U10" s="86">
        <f t="shared" si="4"/>
        <v>52.793509999999991</v>
      </c>
      <c r="V10" s="99">
        <f t="shared" si="5"/>
        <v>43.994591666666658</v>
      </c>
    </row>
    <row r="11" spans="1:22" ht="15" x14ac:dyDescent="0.25">
      <c r="A11" s="98">
        <f t="shared" si="6"/>
        <v>9</v>
      </c>
      <c r="B11" s="86" t="s">
        <v>330</v>
      </c>
      <c r="C11" s="86" t="s">
        <v>331</v>
      </c>
      <c r="D11" s="86">
        <v>4</v>
      </c>
      <c r="E11" s="86">
        <v>5</v>
      </c>
      <c r="F11" s="96" t="s">
        <v>86</v>
      </c>
      <c r="G11" s="86" t="s">
        <v>327</v>
      </c>
      <c r="H11" s="86">
        <v>0.45</v>
      </c>
      <c r="I11" s="86">
        <v>0</v>
      </c>
      <c r="J11" s="86">
        <v>0</v>
      </c>
      <c r="K11" s="86">
        <v>470.97</v>
      </c>
      <c r="L11" s="86">
        <v>0</v>
      </c>
      <c r="M11" s="86">
        <v>87</v>
      </c>
      <c r="N11" s="86">
        <v>25</v>
      </c>
      <c r="O11" s="95">
        <f>VLOOKUP(E11,'Прайс Лазер'!$I$4:$J$21,2,0)</f>
        <v>3.4499999999999997</v>
      </c>
      <c r="P11" s="86">
        <f>HLOOKUP('Оценка лазера'!$E11,'Прайс Лазер'!$C$26:$T$34,1+VLOOKUP(F11,'Прайс Лазер'!$A$26:$B$34,2,0),0)</f>
        <v>63.249999999999993</v>
      </c>
      <c r="Q11" s="86">
        <f t="shared" si="0"/>
        <v>39.15</v>
      </c>
      <c r="R11" s="86">
        <f t="shared" si="1"/>
        <v>0</v>
      </c>
      <c r="S11" s="86">
        <f t="shared" si="2"/>
        <v>32.767737750000002</v>
      </c>
      <c r="T11" s="86">
        <f t="shared" si="3"/>
        <v>71.917737750000001</v>
      </c>
      <c r="U11" s="86">
        <f t="shared" si="4"/>
        <v>287.670951</v>
      </c>
      <c r="V11" s="99">
        <f t="shared" si="5"/>
        <v>239.72579250000001</v>
      </c>
    </row>
    <row r="12" spans="1:22" ht="15" x14ac:dyDescent="0.25">
      <c r="A12" s="98">
        <f t="shared" si="6"/>
        <v>10</v>
      </c>
      <c r="B12" s="86" t="s">
        <v>337</v>
      </c>
      <c r="C12" s="86" t="s">
        <v>338</v>
      </c>
      <c r="D12" s="86">
        <v>13</v>
      </c>
      <c r="E12" s="86">
        <v>5</v>
      </c>
      <c r="F12" s="96" t="s">
        <v>86</v>
      </c>
      <c r="G12" s="86" t="s">
        <v>327</v>
      </c>
      <c r="H12" s="86">
        <v>7.0000000000000007E-2</v>
      </c>
      <c r="I12" s="86">
        <v>0</v>
      </c>
      <c r="J12" s="86">
        <v>0</v>
      </c>
      <c r="K12" s="86">
        <v>191.71</v>
      </c>
      <c r="L12" s="86">
        <v>0</v>
      </c>
      <c r="M12" s="86">
        <v>87</v>
      </c>
      <c r="N12" s="86">
        <v>25</v>
      </c>
      <c r="O12" s="95">
        <f>VLOOKUP(E12,'Прайс Лазер'!$I$4:$J$21,2,0)</f>
        <v>3.4499999999999997</v>
      </c>
      <c r="P12" s="86">
        <f>HLOOKUP('Оценка лазера'!$E12,'Прайс Лазер'!$C$26:$T$34,1+VLOOKUP(F12,'Прайс Лазер'!$A$26:$B$34,2,0),0)</f>
        <v>63.249999999999993</v>
      </c>
      <c r="Q12" s="86">
        <f t="shared" si="0"/>
        <v>6.0900000000000007</v>
      </c>
      <c r="R12" s="86">
        <f t="shared" si="1"/>
        <v>0</v>
      </c>
      <c r="S12" s="86">
        <f t="shared" si="2"/>
        <v>13.33822325</v>
      </c>
      <c r="T12" s="86">
        <f t="shared" si="3"/>
        <v>19.428223250000002</v>
      </c>
      <c r="U12" s="86">
        <f t="shared" si="4"/>
        <v>252.56690225000003</v>
      </c>
      <c r="V12" s="99">
        <f t="shared" si="5"/>
        <v>210.47241854166668</v>
      </c>
    </row>
    <row r="13" spans="1:22" ht="15" x14ac:dyDescent="0.25">
      <c r="A13" s="98">
        <f t="shared" si="6"/>
        <v>11</v>
      </c>
      <c r="B13" s="86" t="s">
        <v>328</v>
      </c>
      <c r="C13" s="86" t="s">
        <v>329</v>
      </c>
      <c r="D13" s="86">
        <v>2</v>
      </c>
      <c r="E13" s="86">
        <v>5</v>
      </c>
      <c r="F13" s="96" t="s">
        <v>86</v>
      </c>
      <c r="G13" s="86" t="s">
        <v>327</v>
      </c>
      <c r="H13" s="86">
        <v>0.18</v>
      </c>
      <c r="I13" s="86">
        <v>0</v>
      </c>
      <c r="J13" s="86">
        <v>2</v>
      </c>
      <c r="K13" s="86">
        <v>311.42</v>
      </c>
      <c r="L13" s="86">
        <v>75.98</v>
      </c>
      <c r="M13" s="86">
        <v>0</v>
      </c>
      <c r="N13" s="86">
        <v>25</v>
      </c>
      <c r="O13" s="95">
        <f>VLOOKUP(E13,'Прайс Лазер'!$I$4:$J$21,2,0)</f>
        <v>3.4499999999999997</v>
      </c>
      <c r="P13" s="86">
        <f>HLOOKUP('Оценка лазера'!$E13,'Прайс Лазер'!$C$26:$T$34,1+VLOOKUP(F13,'Прайс Лазер'!$A$26:$B$34,2,0),0)</f>
        <v>63.249999999999993</v>
      </c>
      <c r="Q13" s="86">
        <f t="shared" si="0"/>
        <v>0</v>
      </c>
      <c r="R13" s="86">
        <f t="shared" si="1"/>
        <v>0</v>
      </c>
      <c r="S13" s="86">
        <f t="shared" si="2"/>
        <v>33.853355000000001</v>
      </c>
      <c r="T13" s="86">
        <f t="shared" si="3"/>
        <v>33.853355000000001</v>
      </c>
      <c r="U13" s="86">
        <f t="shared" si="4"/>
        <v>67.706710000000001</v>
      </c>
      <c r="V13" s="99">
        <f t="shared" si="5"/>
        <v>56.422258333333339</v>
      </c>
    </row>
    <row r="14" spans="1:22" ht="15" x14ac:dyDescent="0.25">
      <c r="A14" s="98">
        <f t="shared" si="6"/>
        <v>12</v>
      </c>
      <c r="B14" s="86"/>
      <c r="C14" s="86"/>
      <c r="D14" s="86"/>
      <c r="E14" s="86">
        <v>1</v>
      </c>
      <c r="F14" s="96" t="s">
        <v>85</v>
      </c>
      <c r="G14" s="86"/>
      <c r="H14" s="86">
        <v>0</v>
      </c>
      <c r="I14" s="86">
        <v>0</v>
      </c>
      <c r="J14" s="86">
        <v>0</v>
      </c>
      <c r="K14" s="86">
        <v>0</v>
      </c>
      <c r="L14" s="86">
        <v>0</v>
      </c>
      <c r="M14" s="86">
        <f>VLOOKUP(F14,'Прайс Лазер'!$L$3:$M$9,2,0)</f>
        <v>94</v>
      </c>
      <c r="N14" s="86">
        <v>25</v>
      </c>
      <c r="O14" s="95">
        <f>VLOOKUP(E14,'Прайс Лазер'!$I$4:$J$21,2,0)</f>
        <v>1.1499999999999999</v>
      </c>
      <c r="P14" s="86">
        <f>HLOOKUP('Оценка лазера'!$E14,'Прайс Лазер'!$C$26:$T$34,1+VLOOKUP(F14,'Прайс Лазер'!$A$26:$B$34,2,0),0)</f>
        <v>21.849999999999998</v>
      </c>
      <c r="Q14" s="86">
        <f t="shared" si="0"/>
        <v>0</v>
      </c>
      <c r="R14" s="86">
        <f t="shared" si="1"/>
        <v>0</v>
      </c>
      <c r="S14" s="86">
        <f t="shared" si="2"/>
        <v>0</v>
      </c>
      <c r="T14" s="86">
        <f t="shared" si="3"/>
        <v>0</v>
      </c>
      <c r="U14" s="86">
        <f t="shared" si="4"/>
        <v>0</v>
      </c>
      <c r="V14" s="99">
        <f t="shared" si="5"/>
        <v>0</v>
      </c>
    </row>
    <row r="15" spans="1:22" ht="15" x14ac:dyDescent="0.25">
      <c r="A15" s="98">
        <f t="shared" si="6"/>
        <v>13</v>
      </c>
      <c r="B15" s="86"/>
      <c r="C15" s="86"/>
      <c r="D15" s="86"/>
      <c r="E15" s="86">
        <v>1</v>
      </c>
      <c r="F15" s="96" t="s">
        <v>85</v>
      </c>
      <c r="G15" s="86"/>
      <c r="H15" s="86">
        <v>0</v>
      </c>
      <c r="I15" s="86">
        <v>0</v>
      </c>
      <c r="J15" s="86">
        <v>0</v>
      </c>
      <c r="K15" s="86">
        <v>0</v>
      </c>
      <c r="L15" s="86">
        <v>0</v>
      </c>
      <c r="M15" s="86">
        <f>VLOOKUP(F15,'Прайс Лазер'!$L$3:$M$9,2,0)</f>
        <v>94</v>
      </c>
      <c r="N15" s="86">
        <v>25</v>
      </c>
      <c r="O15" s="95">
        <f>VLOOKUP(E15,'Прайс Лазер'!$I$4:$J$21,2,0)</f>
        <v>1.1499999999999999</v>
      </c>
      <c r="P15" s="86">
        <f>HLOOKUP('Оценка лазера'!$E15,'Прайс Лазер'!$C$26:$T$34,1+VLOOKUP(F15,'Прайс Лазер'!$A$26:$B$34,2,0),0)</f>
        <v>21.849999999999998</v>
      </c>
      <c r="Q15" s="86">
        <f t="shared" si="0"/>
        <v>0</v>
      </c>
      <c r="R15" s="86">
        <f t="shared" si="1"/>
        <v>0</v>
      </c>
      <c r="S15" s="86">
        <f t="shared" si="2"/>
        <v>0</v>
      </c>
      <c r="T15" s="86">
        <f t="shared" si="3"/>
        <v>0</v>
      </c>
      <c r="U15" s="86">
        <f t="shared" si="4"/>
        <v>0</v>
      </c>
      <c r="V15" s="99">
        <f t="shared" si="5"/>
        <v>0</v>
      </c>
    </row>
    <row r="16" spans="1:22" ht="15" x14ac:dyDescent="0.25">
      <c r="A16" s="98">
        <f t="shared" si="6"/>
        <v>14</v>
      </c>
      <c r="B16" s="86"/>
      <c r="C16" s="86"/>
      <c r="D16" s="86"/>
      <c r="E16" s="86">
        <v>1</v>
      </c>
      <c r="F16" s="96" t="s">
        <v>85</v>
      </c>
      <c r="G16" s="86"/>
      <c r="H16" s="86">
        <v>0</v>
      </c>
      <c r="I16" s="86">
        <v>0</v>
      </c>
      <c r="J16" s="86">
        <v>0</v>
      </c>
      <c r="K16" s="86">
        <v>0</v>
      </c>
      <c r="L16" s="86">
        <v>0</v>
      </c>
      <c r="M16" s="86">
        <f>VLOOKUP(F16,'Прайс Лазер'!$L$3:$M$9,2,0)</f>
        <v>94</v>
      </c>
      <c r="N16" s="86">
        <v>25</v>
      </c>
      <c r="O16" s="95">
        <f>VLOOKUP(E16,'Прайс Лазер'!$I$4:$J$21,2,0)</f>
        <v>1.1499999999999999</v>
      </c>
      <c r="P16" s="86">
        <f>HLOOKUP('Оценка лазера'!$E16,'Прайс Лазер'!$C$26:$T$34,1+VLOOKUP(F16,'Прайс Лазер'!$A$26:$B$34,2,0),0)</f>
        <v>21.849999999999998</v>
      </c>
      <c r="Q16" s="86">
        <f t="shared" si="0"/>
        <v>0</v>
      </c>
      <c r="R16" s="86">
        <f t="shared" si="1"/>
        <v>0</v>
      </c>
      <c r="S16" s="86">
        <f t="shared" si="2"/>
        <v>0</v>
      </c>
      <c r="T16" s="86">
        <f t="shared" si="3"/>
        <v>0</v>
      </c>
      <c r="U16" s="86">
        <f t="shared" si="4"/>
        <v>0</v>
      </c>
      <c r="V16" s="99">
        <f t="shared" si="5"/>
        <v>0</v>
      </c>
    </row>
    <row r="17" spans="1:22" ht="15" x14ac:dyDescent="0.25">
      <c r="A17" s="98">
        <f t="shared" si="6"/>
        <v>15</v>
      </c>
      <c r="B17" s="86"/>
      <c r="C17" s="86"/>
      <c r="D17" s="86"/>
      <c r="E17" s="86">
        <v>1</v>
      </c>
      <c r="F17" s="96" t="s">
        <v>85</v>
      </c>
      <c r="G17" s="86"/>
      <c r="H17" s="86">
        <v>0</v>
      </c>
      <c r="I17" s="86">
        <v>0</v>
      </c>
      <c r="J17" s="86">
        <v>0</v>
      </c>
      <c r="K17" s="86">
        <v>0</v>
      </c>
      <c r="L17" s="86">
        <v>0</v>
      </c>
      <c r="M17" s="86">
        <f>VLOOKUP(F17,'Прайс Лазер'!$L$3:$M$9,2,0)</f>
        <v>94</v>
      </c>
      <c r="N17" s="86">
        <v>25</v>
      </c>
      <c r="O17" s="95">
        <f>VLOOKUP(E17,'Прайс Лазер'!$I$4:$J$21,2,0)</f>
        <v>1.1499999999999999</v>
      </c>
      <c r="P17" s="86">
        <f>HLOOKUP('Оценка лазера'!$E17,'Прайс Лазер'!$C$26:$T$34,1+VLOOKUP(F17,'Прайс Лазер'!$A$26:$B$34,2,0),0)</f>
        <v>21.849999999999998</v>
      </c>
      <c r="Q17" s="86">
        <f t="shared" si="0"/>
        <v>0</v>
      </c>
      <c r="R17" s="86">
        <f t="shared" si="1"/>
        <v>0</v>
      </c>
      <c r="S17" s="86">
        <f t="shared" si="2"/>
        <v>0</v>
      </c>
      <c r="T17" s="86">
        <f t="shared" si="3"/>
        <v>0</v>
      </c>
      <c r="U17" s="86">
        <f t="shared" si="4"/>
        <v>0</v>
      </c>
      <c r="V17" s="99">
        <f t="shared" si="5"/>
        <v>0</v>
      </c>
    </row>
    <row r="18" spans="1:22" ht="15" x14ac:dyDescent="0.25">
      <c r="A18" s="98">
        <f t="shared" si="6"/>
        <v>16</v>
      </c>
      <c r="B18" s="86"/>
      <c r="C18" s="86"/>
      <c r="D18" s="86"/>
      <c r="E18" s="86">
        <v>1</v>
      </c>
      <c r="F18" s="96" t="s">
        <v>85</v>
      </c>
      <c r="G18" s="86"/>
      <c r="H18" s="86">
        <v>0</v>
      </c>
      <c r="I18" s="86">
        <v>0</v>
      </c>
      <c r="J18" s="86">
        <v>0</v>
      </c>
      <c r="K18" s="86">
        <v>0</v>
      </c>
      <c r="L18" s="86">
        <v>0</v>
      </c>
      <c r="M18" s="86">
        <f>VLOOKUP(F18,'Прайс Лазер'!$L$3:$M$9,2,0)</f>
        <v>94</v>
      </c>
      <c r="N18" s="86">
        <v>25</v>
      </c>
      <c r="O18" s="95">
        <f>VLOOKUP(E18,'Прайс Лазер'!$I$4:$J$21,2,0)</f>
        <v>1.1499999999999999</v>
      </c>
      <c r="P18" s="86">
        <f>HLOOKUP('Оценка лазера'!$E18,'Прайс Лазер'!$C$26:$T$34,1+VLOOKUP(F18,'Прайс Лазер'!$A$26:$B$34,2,0),0)</f>
        <v>21.849999999999998</v>
      </c>
      <c r="Q18" s="86">
        <f t="shared" si="0"/>
        <v>0</v>
      </c>
      <c r="R18" s="86">
        <f t="shared" si="1"/>
        <v>0</v>
      </c>
      <c r="S18" s="86">
        <f t="shared" si="2"/>
        <v>0</v>
      </c>
      <c r="T18" s="86">
        <f t="shared" si="3"/>
        <v>0</v>
      </c>
      <c r="U18" s="86">
        <f t="shared" si="4"/>
        <v>0</v>
      </c>
      <c r="V18" s="99">
        <f t="shared" si="5"/>
        <v>0</v>
      </c>
    </row>
    <row r="19" spans="1:22" ht="15" x14ac:dyDescent="0.25">
      <c r="A19" s="98">
        <f>A18+1</f>
        <v>17</v>
      </c>
      <c r="B19" s="86"/>
      <c r="C19" s="86"/>
      <c r="D19" s="86"/>
      <c r="E19" s="86">
        <v>1</v>
      </c>
      <c r="F19" s="96" t="s">
        <v>85</v>
      </c>
      <c r="G19" s="86"/>
      <c r="H19" s="86">
        <v>0</v>
      </c>
      <c r="I19" s="86">
        <v>0</v>
      </c>
      <c r="J19" s="86">
        <v>0</v>
      </c>
      <c r="K19" s="86">
        <v>0</v>
      </c>
      <c r="L19" s="86">
        <v>0</v>
      </c>
      <c r="M19" s="86">
        <f>VLOOKUP(F19,'Прайс Лазер'!$L$3:$M$9,2,0)</f>
        <v>94</v>
      </c>
      <c r="N19" s="86">
        <v>25</v>
      </c>
      <c r="O19" s="95">
        <f>VLOOKUP(E19,'Прайс Лазер'!$I$4:$J$21,2,0)</f>
        <v>1.1499999999999999</v>
      </c>
      <c r="P19" s="86">
        <f>HLOOKUP('Оценка лазера'!$E19,'Прайс Лазер'!$C$26:$T$34,1+VLOOKUP(F19,'Прайс Лазер'!$A$26:$B$34,2,0),0)</f>
        <v>21.849999999999998</v>
      </c>
      <c r="Q19" s="86">
        <f t="shared" ref="Q19:Q66" si="7">H19*M19</f>
        <v>0</v>
      </c>
      <c r="R19" s="86">
        <f t="shared" ref="R19:R66" si="8">I19*N19</f>
        <v>0</v>
      </c>
      <c r="S19" s="86">
        <f t="shared" ref="S19:S66" si="9">(K19+L19)/1000*1.1*P19+(J19*O19)</f>
        <v>0</v>
      </c>
      <c r="T19" s="86">
        <f t="shared" ref="T19:T67" si="10">Q19+R19+S19</f>
        <v>0</v>
      </c>
      <c r="U19" s="86">
        <f t="shared" ref="U19:U66" si="11">D19*T19</f>
        <v>0</v>
      </c>
      <c r="V19" s="99">
        <f t="shared" ref="V19:V67" si="12">U19/1.2</f>
        <v>0</v>
      </c>
    </row>
    <row r="20" spans="1:22" ht="15" x14ac:dyDescent="0.25">
      <c r="A20" s="98">
        <f t="shared" si="6"/>
        <v>18</v>
      </c>
      <c r="B20" s="86"/>
      <c r="C20" s="86"/>
      <c r="D20" s="86"/>
      <c r="E20" s="86">
        <v>1</v>
      </c>
      <c r="F20" s="96" t="s">
        <v>85</v>
      </c>
      <c r="G20" s="86"/>
      <c r="H20" s="86">
        <v>0</v>
      </c>
      <c r="I20" s="86">
        <v>0</v>
      </c>
      <c r="J20" s="86">
        <v>0</v>
      </c>
      <c r="K20" s="86">
        <v>0</v>
      </c>
      <c r="L20" s="86">
        <v>0</v>
      </c>
      <c r="M20" s="86">
        <f>VLOOKUP(F20,'Прайс Лазер'!$L$3:$M$9,2,0)</f>
        <v>94</v>
      </c>
      <c r="N20" s="86">
        <v>25</v>
      </c>
      <c r="O20" s="95">
        <f>VLOOKUP(E20,'Прайс Лазер'!$I$4:$J$21,2,0)</f>
        <v>1.1499999999999999</v>
      </c>
      <c r="P20" s="86">
        <f>HLOOKUP('Оценка лазера'!$E20,'Прайс Лазер'!$C$26:$T$34,1+VLOOKUP(F20,'Прайс Лазер'!$A$26:$B$34,2,0),0)</f>
        <v>21.849999999999998</v>
      </c>
      <c r="Q20" s="86">
        <f t="shared" si="7"/>
        <v>0</v>
      </c>
      <c r="R20" s="86">
        <f t="shared" si="8"/>
        <v>0</v>
      </c>
      <c r="S20" s="86">
        <f t="shared" si="9"/>
        <v>0</v>
      </c>
      <c r="T20" s="86">
        <f t="shared" si="10"/>
        <v>0</v>
      </c>
      <c r="U20" s="86">
        <f t="shared" si="11"/>
        <v>0</v>
      </c>
      <c r="V20" s="99">
        <f t="shared" si="12"/>
        <v>0</v>
      </c>
    </row>
    <row r="21" spans="1:22" ht="15" x14ac:dyDescent="0.25">
      <c r="A21" s="98">
        <f t="shared" si="6"/>
        <v>19</v>
      </c>
      <c r="B21" s="86"/>
      <c r="C21" s="86"/>
      <c r="D21" s="86"/>
      <c r="E21" s="86">
        <v>1</v>
      </c>
      <c r="F21" s="96" t="s">
        <v>85</v>
      </c>
      <c r="G21" s="86"/>
      <c r="H21" s="86">
        <v>0</v>
      </c>
      <c r="I21" s="86">
        <v>0</v>
      </c>
      <c r="J21" s="86">
        <v>0</v>
      </c>
      <c r="K21" s="86">
        <v>0</v>
      </c>
      <c r="L21" s="86">
        <v>0</v>
      </c>
      <c r="M21" s="86">
        <f>VLOOKUP(F21,'Прайс Лазер'!$L$3:$M$9,2,0)</f>
        <v>94</v>
      </c>
      <c r="N21" s="86">
        <v>25</v>
      </c>
      <c r="O21" s="95">
        <f>VLOOKUP(E21,'Прайс Лазер'!$I$4:$J$21,2,0)</f>
        <v>1.1499999999999999</v>
      </c>
      <c r="P21" s="86">
        <f>HLOOKUP('Оценка лазера'!$E21,'Прайс Лазер'!$C$26:$T$34,1+VLOOKUP(F21,'Прайс Лазер'!$A$26:$B$34,2,0),0)</f>
        <v>21.849999999999998</v>
      </c>
      <c r="Q21" s="86">
        <f t="shared" si="7"/>
        <v>0</v>
      </c>
      <c r="R21" s="86">
        <f t="shared" si="8"/>
        <v>0</v>
      </c>
      <c r="S21" s="86">
        <f t="shared" si="9"/>
        <v>0</v>
      </c>
      <c r="T21" s="86">
        <f t="shared" si="10"/>
        <v>0</v>
      </c>
      <c r="U21" s="86">
        <f t="shared" si="11"/>
        <v>0</v>
      </c>
      <c r="V21" s="99">
        <f t="shared" si="12"/>
        <v>0</v>
      </c>
    </row>
    <row r="22" spans="1:22" ht="15" x14ac:dyDescent="0.25">
      <c r="A22" s="98">
        <f t="shared" si="6"/>
        <v>20</v>
      </c>
      <c r="B22" s="86"/>
      <c r="C22" s="86"/>
      <c r="D22" s="86"/>
      <c r="E22" s="86">
        <v>1</v>
      </c>
      <c r="F22" s="96" t="s">
        <v>85</v>
      </c>
      <c r="G22" s="86"/>
      <c r="H22" s="86">
        <v>0</v>
      </c>
      <c r="I22" s="86">
        <v>0</v>
      </c>
      <c r="J22" s="86">
        <v>0</v>
      </c>
      <c r="K22" s="86">
        <v>0</v>
      </c>
      <c r="L22" s="86">
        <v>0</v>
      </c>
      <c r="M22" s="86">
        <f>VLOOKUP(F22,'Прайс Лазер'!$L$3:$M$9,2,0)</f>
        <v>94</v>
      </c>
      <c r="N22" s="86">
        <v>25</v>
      </c>
      <c r="O22" s="95">
        <f>VLOOKUP(E22,'Прайс Лазер'!$I$4:$J$21,2,0)</f>
        <v>1.1499999999999999</v>
      </c>
      <c r="P22" s="86">
        <f>HLOOKUP('Оценка лазера'!$E22,'Прайс Лазер'!$C$26:$T$34,1+VLOOKUP(F22,'Прайс Лазер'!$A$26:$B$34,2,0),0)</f>
        <v>21.849999999999998</v>
      </c>
      <c r="Q22" s="86">
        <f t="shared" si="7"/>
        <v>0</v>
      </c>
      <c r="R22" s="86">
        <f t="shared" si="8"/>
        <v>0</v>
      </c>
      <c r="S22" s="86">
        <f t="shared" si="9"/>
        <v>0</v>
      </c>
      <c r="T22" s="86">
        <f t="shared" si="10"/>
        <v>0</v>
      </c>
      <c r="U22" s="86">
        <f t="shared" si="11"/>
        <v>0</v>
      </c>
      <c r="V22" s="99">
        <f t="shared" si="12"/>
        <v>0</v>
      </c>
    </row>
    <row r="23" spans="1:22" ht="15" x14ac:dyDescent="0.25">
      <c r="A23" s="98">
        <f t="shared" si="6"/>
        <v>21</v>
      </c>
      <c r="B23" s="86"/>
      <c r="C23" s="86"/>
      <c r="D23" s="86"/>
      <c r="E23" s="86">
        <v>1</v>
      </c>
      <c r="F23" s="96" t="s">
        <v>85</v>
      </c>
      <c r="G23" s="86"/>
      <c r="H23" s="86">
        <v>0</v>
      </c>
      <c r="I23" s="86">
        <v>0</v>
      </c>
      <c r="J23" s="86">
        <v>0</v>
      </c>
      <c r="K23" s="86">
        <v>0</v>
      </c>
      <c r="L23" s="86">
        <v>0</v>
      </c>
      <c r="M23" s="86">
        <f>VLOOKUP(F23,'Прайс Лазер'!$L$3:$M$9,2,0)</f>
        <v>94</v>
      </c>
      <c r="N23" s="86">
        <v>25</v>
      </c>
      <c r="O23" s="95">
        <f>VLOOKUP(E23,'Прайс Лазер'!$I$4:$J$21,2,0)</f>
        <v>1.1499999999999999</v>
      </c>
      <c r="P23" s="86">
        <f>HLOOKUP('Оценка лазера'!$E23,'Прайс Лазер'!$C$26:$T$34,1+VLOOKUP(F23,'Прайс Лазер'!$A$26:$B$34,2,0),0)</f>
        <v>21.849999999999998</v>
      </c>
      <c r="Q23" s="86">
        <f t="shared" si="7"/>
        <v>0</v>
      </c>
      <c r="R23" s="86">
        <f t="shared" si="8"/>
        <v>0</v>
      </c>
      <c r="S23" s="86">
        <f t="shared" si="9"/>
        <v>0</v>
      </c>
      <c r="T23" s="86">
        <f t="shared" si="10"/>
        <v>0</v>
      </c>
      <c r="U23" s="86">
        <f t="shared" si="11"/>
        <v>0</v>
      </c>
      <c r="V23" s="99">
        <f t="shared" si="12"/>
        <v>0</v>
      </c>
    </row>
    <row r="24" spans="1:22" ht="15" x14ac:dyDescent="0.25">
      <c r="A24" s="98">
        <f t="shared" si="6"/>
        <v>22</v>
      </c>
      <c r="B24" s="86"/>
      <c r="C24" s="86"/>
      <c r="D24" s="86"/>
      <c r="E24" s="86">
        <v>1</v>
      </c>
      <c r="F24" s="96" t="s">
        <v>85</v>
      </c>
      <c r="G24" s="86"/>
      <c r="H24" s="86">
        <v>0</v>
      </c>
      <c r="I24" s="86">
        <v>0</v>
      </c>
      <c r="J24" s="86">
        <v>0</v>
      </c>
      <c r="K24" s="86">
        <v>0</v>
      </c>
      <c r="L24" s="86">
        <v>0</v>
      </c>
      <c r="M24" s="86">
        <f>VLOOKUP(F24,'Прайс Лазер'!$L$3:$M$9,2,0)</f>
        <v>94</v>
      </c>
      <c r="N24" s="86">
        <v>25</v>
      </c>
      <c r="O24" s="95">
        <f>VLOOKUP(E24,'Прайс Лазер'!$I$4:$J$21,2,0)</f>
        <v>1.1499999999999999</v>
      </c>
      <c r="P24" s="86">
        <f>HLOOKUP('Оценка лазера'!$E24,'Прайс Лазер'!$C$26:$T$34,1+VLOOKUP(F24,'Прайс Лазер'!$A$26:$B$34,2,0),0)</f>
        <v>21.849999999999998</v>
      </c>
      <c r="Q24" s="86">
        <f t="shared" si="7"/>
        <v>0</v>
      </c>
      <c r="R24" s="86">
        <f t="shared" si="8"/>
        <v>0</v>
      </c>
      <c r="S24" s="86">
        <f t="shared" si="9"/>
        <v>0</v>
      </c>
      <c r="T24" s="86">
        <f t="shared" si="10"/>
        <v>0</v>
      </c>
      <c r="U24" s="86">
        <f t="shared" si="11"/>
        <v>0</v>
      </c>
      <c r="V24" s="99">
        <f t="shared" si="12"/>
        <v>0</v>
      </c>
    </row>
    <row r="25" spans="1:22" ht="15" x14ac:dyDescent="0.25">
      <c r="A25" s="98">
        <f t="shared" si="6"/>
        <v>23</v>
      </c>
      <c r="B25" s="86"/>
      <c r="C25" s="86"/>
      <c r="D25" s="86"/>
      <c r="E25" s="86">
        <v>1</v>
      </c>
      <c r="F25" s="96" t="s">
        <v>85</v>
      </c>
      <c r="G25" s="86"/>
      <c r="H25" s="86">
        <v>0</v>
      </c>
      <c r="I25" s="86">
        <v>0</v>
      </c>
      <c r="J25" s="86">
        <v>0</v>
      </c>
      <c r="K25" s="86">
        <v>0</v>
      </c>
      <c r="L25" s="86">
        <v>0</v>
      </c>
      <c r="M25" s="86">
        <f>VLOOKUP(F25,'Прайс Лазер'!$L$3:$M$9,2,0)</f>
        <v>94</v>
      </c>
      <c r="N25" s="86">
        <v>25</v>
      </c>
      <c r="O25" s="95">
        <f>VLOOKUP(E25,'Прайс Лазер'!$I$4:$J$21,2,0)</f>
        <v>1.1499999999999999</v>
      </c>
      <c r="P25" s="86">
        <f>HLOOKUP('Оценка лазера'!$E25,'Прайс Лазер'!$C$26:$T$34,1+VLOOKUP(F25,'Прайс Лазер'!$A$26:$B$34,2,0),0)</f>
        <v>21.849999999999998</v>
      </c>
      <c r="Q25" s="86">
        <f t="shared" si="7"/>
        <v>0</v>
      </c>
      <c r="R25" s="86">
        <f t="shared" si="8"/>
        <v>0</v>
      </c>
      <c r="S25" s="86">
        <f t="shared" si="9"/>
        <v>0</v>
      </c>
      <c r="T25" s="86">
        <f t="shared" si="10"/>
        <v>0</v>
      </c>
      <c r="U25" s="86">
        <f t="shared" si="11"/>
        <v>0</v>
      </c>
      <c r="V25" s="99">
        <f t="shared" si="12"/>
        <v>0</v>
      </c>
    </row>
    <row r="26" spans="1:22" ht="15" x14ac:dyDescent="0.25">
      <c r="A26" s="98">
        <f t="shared" si="6"/>
        <v>24</v>
      </c>
      <c r="B26" s="86"/>
      <c r="C26" s="86"/>
      <c r="D26" s="86"/>
      <c r="E26" s="86">
        <v>1</v>
      </c>
      <c r="F26" s="96" t="s">
        <v>85</v>
      </c>
      <c r="G26" s="86"/>
      <c r="H26" s="86">
        <v>0</v>
      </c>
      <c r="I26" s="86">
        <v>0</v>
      </c>
      <c r="J26" s="86">
        <v>0</v>
      </c>
      <c r="K26" s="86">
        <v>0</v>
      </c>
      <c r="L26" s="86">
        <v>0</v>
      </c>
      <c r="M26" s="86">
        <f>VLOOKUP(F26,'Прайс Лазер'!$L$3:$M$9,2,0)</f>
        <v>94</v>
      </c>
      <c r="N26" s="86">
        <v>25</v>
      </c>
      <c r="O26" s="95">
        <f>VLOOKUP(E26,'Прайс Лазер'!$I$4:$J$21,2,0)</f>
        <v>1.1499999999999999</v>
      </c>
      <c r="P26" s="86">
        <f>HLOOKUP('Оценка лазера'!$E26,'Прайс Лазер'!$C$26:$T$34,1+VLOOKUP(F26,'Прайс Лазер'!$A$26:$B$34,2,0),0)</f>
        <v>21.849999999999998</v>
      </c>
      <c r="Q26" s="86">
        <f t="shared" si="7"/>
        <v>0</v>
      </c>
      <c r="R26" s="86">
        <f t="shared" si="8"/>
        <v>0</v>
      </c>
      <c r="S26" s="86">
        <f t="shared" si="9"/>
        <v>0</v>
      </c>
      <c r="T26" s="86">
        <f t="shared" si="10"/>
        <v>0</v>
      </c>
      <c r="U26" s="86">
        <f t="shared" si="11"/>
        <v>0</v>
      </c>
      <c r="V26" s="99">
        <f t="shared" si="12"/>
        <v>0</v>
      </c>
    </row>
    <row r="27" spans="1:22" ht="15" x14ac:dyDescent="0.25">
      <c r="A27" s="98">
        <f t="shared" si="6"/>
        <v>25</v>
      </c>
      <c r="B27" s="86"/>
      <c r="C27" s="86"/>
      <c r="D27" s="86"/>
      <c r="E27" s="86">
        <v>1</v>
      </c>
      <c r="F27" s="96" t="s">
        <v>85</v>
      </c>
      <c r="G27" s="86"/>
      <c r="H27" s="86">
        <v>0</v>
      </c>
      <c r="I27" s="86">
        <v>0</v>
      </c>
      <c r="J27" s="86">
        <v>0</v>
      </c>
      <c r="K27" s="86">
        <v>0</v>
      </c>
      <c r="L27" s="86">
        <v>0</v>
      </c>
      <c r="M27" s="86">
        <f>VLOOKUP(F27,'Прайс Лазер'!$L$3:$M$9,2,0)</f>
        <v>94</v>
      </c>
      <c r="N27" s="86">
        <v>25</v>
      </c>
      <c r="O27" s="95">
        <f>VLOOKUP(E27,'Прайс Лазер'!$I$4:$J$21,2,0)</f>
        <v>1.1499999999999999</v>
      </c>
      <c r="P27" s="86">
        <f>HLOOKUP('Оценка лазера'!$E27,'Прайс Лазер'!$C$26:$T$34,1+VLOOKUP(F27,'Прайс Лазер'!$A$26:$B$34,2,0),0)</f>
        <v>21.849999999999998</v>
      </c>
      <c r="Q27" s="86">
        <f t="shared" si="7"/>
        <v>0</v>
      </c>
      <c r="R27" s="86">
        <f t="shared" si="8"/>
        <v>0</v>
      </c>
      <c r="S27" s="86">
        <f t="shared" si="9"/>
        <v>0</v>
      </c>
      <c r="T27" s="86">
        <f t="shared" si="10"/>
        <v>0</v>
      </c>
      <c r="U27" s="86">
        <f t="shared" si="11"/>
        <v>0</v>
      </c>
      <c r="V27" s="99">
        <f t="shared" si="12"/>
        <v>0</v>
      </c>
    </row>
    <row r="28" spans="1:22" ht="15" x14ac:dyDescent="0.25">
      <c r="A28" s="98">
        <f t="shared" si="6"/>
        <v>26</v>
      </c>
      <c r="B28" s="86"/>
      <c r="C28" s="86"/>
      <c r="D28" s="86"/>
      <c r="E28" s="86">
        <v>1</v>
      </c>
      <c r="F28" s="96" t="s">
        <v>85</v>
      </c>
      <c r="G28" s="86"/>
      <c r="H28" s="86">
        <v>0</v>
      </c>
      <c r="I28" s="86">
        <v>0</v>
      </c>
      <c r="J28" s="86">
        <v>0</v>
      </c>
      <c r="K28" s="86">
        <v>0</v>
      </c>
      <c r="L28" s="86">
        <v>0</v>
      </c>
      <c r="M28" s="86">
        <f>VLOOKUP(F28,'Прайс Лазер'!$L$3:$M$9,2,0)</f>
        <v>94</v>
      </c>
      <c r="N28" s="86">
        <v>25</v>
      </c>
      <c r="O28" s="95">
        <f>VLOOKUP(E28,'Прайс Лазер'!$I$4:$J$21,2,0)</f>
        <v>1.1499999999999999</v>
      </c>
      <c r="P28" s="86">
        <f>HLOOKUP('Оценка лазера'!$E28,'Прайс Лазер'!$C$26:$T$34,1+VLOOKUP(F28,'Прайс Лазер'!$A$26:$B$34,2,0),0)</f>
        <v>21.849999999999998</v>
      </c>
      <c r="Q28" s="86">
        <f t="shared" si="7"/>
        <v>0</v>
      </c>
      <c r="R28" s="86">
        <f t="shared" si="8"/>
        <v>0</v>
      </c>
      <c r="S28" s="86">
        <f t="shared" si="9"/>
        <v>0</v>
      </c>
      <c r="T28" s="86">
        <f t="shared" si="10"/>
        <v>0</v>
      </c>
      <c r="U28" s="86">
        <f t="shared" si="11"/>
        <v>0</v>
      </c>
      <c r="V28" s="99">
        <f t="shared" si="12"/>
        <v>0</v>
      </c>
    </row>
    <row r="29" spans="1:22" ht="15" x14ac:dyDescent="0.25">
      <c r="A29" s="98">
        <f t="shared" si="6"/>
        <v>27</v>
      </c>
      <c r="B29" s="86"/>
      <c r="C29" s="86"/>
      <c r="D29" s="86"/>
      <c r="E29" s="86">
        <v>1</v>
      </c>
      <c r="F29" s="96" t="s">
        <v>85</v>
      </c>
      <c r="G29" s="86"/>
      <c r="H29" s="86">
        <v>0</v>
      </c>
      <c r="I29" s="86">
        <v>0</v>
      </c>
      <c r="J29" s="86">
        <v>0</v>
      </c>
      <c r="K29" s="86">
        <v>0</v>
      </c>
      <c r="L29" s="86">
        <v>0</v>
      </c>
      <c r="M29" s="86">
        <f>VLOOKUP(F29,'Прайс Лазер'!$L$3:$M$9,2,0)</f>
        <v>94</v>
      </c>
      <c r="N29" s="86">
        <v>25</v>
      </c>
      <c r="O29" s="95">
        <f>VLOOKUP(E29,'Прайс Лазер'!$I$4:$J$21,2,0)</f>
        <v>1.1499999999999999</v>
      </c>
      <c r="P29" s="86">
        <f>HLOOKUP('Оценка лазера'!$E29,'Прайс Лазер'!$C$26:$T$34,1+VLOOKUP(F29,'Прайс Лазер'!$A$26:$B$34,2,0),0)</f>
        <v>21.849999999999998</v>
      </c>
      <c r="Q29" s="86">
        <f t="shared" si="7"/>
        <v>0</v>
      </c>
      <c r="R29" s="86">
        <f t="shared" si="8"/>
        <v>0</v>
      </c>
      <c r="S29" s="86">
        <f t="shared" si="9"/>
        <v>0</v>
      </c>
      <c r="T29" s="86">
        <f t="shared" si="10"/>
        <v>0</v>
      </c>
      <c r="U29" s="86">
        <f t="shared" si="11"/>
        <v>0</v>
      </c>
      <c r="V29" s="99">
        <f t="shared" si="12"/>
        <v>0</v>
      </c>
    </row>
    <row r="30" spans="1:22" ht="15" x14ac:dyDescent="0.25">
      <c r="A30" s="98">
        <f t="shared" si="6"/>
        <v>28</v>
      </c>
      <c r="B30" s="86"/>
      <c r="C30" s="86"/>
      <c r="D30" s="86"/>
      <c r="E30" s="86">
        <v>1</v>
      </c>
      <c r="F30" s="96" t="s">
        <v>85</v>
      </c>
      <c r="G30" s="86"/>
      <c r="H30" s="86">
        <v>0</v>
      </c>
      <c r="I30" s="86">
        <v>0</v>
      </c>
      <c r="J30" s="86">
        <v>0</v>
      </c>
      <c r="K30" s="86">
        <v>0</v>
      </c>
      <c r="L30" s="86">
        <v>0</v>
      </c>
      <c r="M30" s="86">
        <f>VLOOKUP(F30,'Прайс Лазер'!$L$3:$M$9,2,0)</f>
        <v>94</v>
      </c>
      <c r="N30" s="86">
        <v>25</v>
      </c>
      <c r="O30" s="95">
        <f>VLOOKUP(E30,'Прайс Лазер'!$I$4:$J$21,2,0)</f>
        <v>1.1499999999999999</v>
      </c>
      <c r="P30" s="86">
        <f>HLOOKUP('Оценка лазера'!$E30,'Прайс Лазер'!$C$26:$T$34,1+VLOOKUP(F30,'Прайс Лазер'!$A$26:$B$34,2,0),0)</f>
        <v>21.849999999999998</v>
      </c>
      <c r="Q30" s="86">
        <f t="shared" si="7"/>
        <v>0</v>
      </c>
      <c r="R30" s="86">
        <f t="shared" si="8"/>
        <v>0</v>
      </c>
      <c r="S30" s="86">
        <f t="shared" si="9"/>
        <v>0</v>
      </c>
      <c r="T30" s="86">
        <f t="shared" si="10"/>
        <v>0</v>
      </c>
      <c r="U30" s="86">
        <f t="shared" si="11"/>
        <v>0</v>
      </c>
      <c r="V30" s="99">
        <f t="shared" si="12"/>
        <v>0</v>
      </c>
    </row>
    <row r="31" spans="1:22" ht="15" x14ac:dyDescent="0.25">
      <c r="A31" s="98">
        <f t="shared" si="6"/>
        <v>29</v>
      </c>
      <c r="B31" s="86"/>
      <c r="C31" s="86"/>
      <c r="D31" s="86"/>
      <c r="E31" s="86">
        <v>1</v>
      </c>
      <c r="F31" s="96" t="s">
        <v>85</v>
      </c>
      <c r="G31" s="86"/>
      <c r="H31" s="86">
        <v>0</v>
      </c>
      <c r="I31" s="86">
        <v>0</v>
      </c>
      <c r="J31" s="86">
        <v>0</v>
      </c>
      <c r="K31" s="86">
        <v>0</v>
      </c>
      <c r="L31" s="86">
        <v>0</v>
      </c>
      <c r="M31" s="86">
        <f>VLOOKUP(F31,'Прайс Лазер'!$L$3:$M$9,2,0)</f>
        <v>94</v>
      </c>
      <c r="N31" s="86">
        <v>25</v>
      </c>
      <c r="O31" s="95">
        <f>VLOOKUP(E31,'Прайс Лазер'!$I$4:$J$21,2,0)</f>
        <v>1.1499999999999999</v>
      </c>
      <c r="P31" s="86">
        <f>HLOOKUP('Оценка лазера'!$E31,'Прайс Лазер'!$C$26:$T$34,1+VLOOKUP(F31,'Прайс Лазер'!$A$26:$B$34,2,0),0)</f>
        <v>21.849999999999998</v>
      </c>
      <c r="Q31" s="86">
        <f t="shared" si="7"/>
        <v>0</v>
      </c>
      <c r="R31" s="86">
        <f t="shared" si="8"/>
        <v>0</v>
      </c>
      <c r="S31" s="86">
        <f t="shared" si="9"/>
        <v>0</v>
      </c>
      <c r="T31" s="86">
        <f t="shared" si="10"/>
        <v>0</v>
      </c>
      <c r="U31" s="86">
        <f t="shared" si="11"/>
        <v>0</v>
      </c>
      <c r="V31" s="99">
        <f t="shared" si="12"/>
        <v>0</v>
      </c>
    </row>
    <row r="32" spans="1:22" ht="15" x14ac:dyDescent="0.25">
      <c r="A32" s="98">
        <f t="shared" si="6"/>
        <v>30</v>
      </c>
      <c r="B32" s="86"/>
      <c r="C32" s="86"/>
      <c r="D32" s="86"/>
      <c r="E32" s="86">
        <v>1</v>
      </c>
      <c r="F32" s="96" t="s">
        <v>85</v>
      </c>
      <c r="G32" s="86"/>
      <c r="H32" s="86">
        <v>0</v>
      </c>
      <c r="I32" s="86">
        <v>0</v>
      </c>
      <c r="J32" s="86">
        <v>0</v>
      </c>
      <c r="K32" s="86">
        <v>0</v>
      </c>
      <c r="L32" s="86">
        <v>0</v>
      </c>
      <c r="M32" s="86">
        <f>VLOOKUP(F32,'Прайс Лазер'!$L$3:$M$9,2,0)</f>
        <v>94</v>
      </c>
      <c r="N32" s="86">
        <v>25</v>
      </c>
      <c r="O32" s="95">
        <f>VLOOKUP(E32,'Прайс Лазер'!$I$4:$J$21,2,0)</f>
        <v>1.1499999999999999</v>
      </c>
      <c r="P32" s="86">
        <f>HLOOKUP('Оценка лазера'!$E32,'Прайс Лазер'!$C$26:$T$34,1+VLOOKUP(F32,'Прайс Лазер'!$A$26:$B$34,2,0),0)</f>
        <v>21.849999999999998</v>
      </c>
      <c r="Q32" s="86">
        <f t="shared" si="7"/>
        <v>0</v>
      </c>
      <c r="R32" s="86">
        <f t="shared" si="8"/>
        <v>0</v>
      </c>
      <c r="S32" s="86">
        <f t="shared" si="9"/>
        <v>0</v>
      </c>
      <c r="T32" s="86">
        <f t="shared" si="10"/>
        <v>0</v>
      </c>
      <c r="U32" s="86">
        <f t="shared" si="11"/>
        <v>0</v>
      </c>
      <c r="V32" s="99">
        <f t="shared" si="12"/>
        <v>0</v>
      </c>
    </row>
    <row r="33" spans="1:22" ht="15" x14ac:dyDescent="0.25">
      <c r="A33" s="98">
        <f t="shared" si="6"/>
        <v>31</v>
      </c>
      <c r="B33" s="86"/>
      <c r="C33" s="86"/>
      <c r="D33" s="86"/>
      <c r="E33" s="86">
        <v>1</v>
      </c>
      <c r="F33" s="96" t="s">
        <v>85</v>
      </c>
      <c r="G33" s="86"/>
      <c r="H33" s="86">
        <v>0</v>
      </c>
      <c r="I33" s="86">
        <v>0</v>
      </c>
      <c r="J33" s="86">
        <v>0</v>
      </c>
      <c r="K33" s="86">
        <v>0</v>
      </c>
      <c r="L33" s="86">
        <v>0</v>
      </c>
      <c r="M33" s="86">
        <f>VLOOKUP(F33,'Прайс Лазер'!$L$3:$M$9,2,0)</f>
        <v>94</v>
      </c>
      <c r="N33" s="86">
        <v>25</v>
      </c>
      <c r="O33" s="95">
        <f>VLOOKUP(E33,'Прайс Лазер'!$I$4:$J$21,2,0)</f>
        <v>1.1499999999999999</v>
      </c>
      <c r="P33" s="86">
        <f>HLOOKUP('Оценка лазера'!$E33,'Прайс Лазер'!$C$26:$T$34,1+VLOOKUP(F33,'Прайс Лазер'!$A$26:$B$34,2,0),0)</f>
        <v>21.849999999999998</v>
      </c>
      <c r="Q33" s="86">
        <f t="shared" si="7"/>
        <v>0</v>
      </c>
      <c r="R33" s="86">
        <f t="shared" si="8"/>
        <v>0</v>
      </c>
      <c r="S33" s="86">
        <f t="shared" si="9"/>
        <v>0</v>
      </c>
      <c r="T33" s="86">
        <f t="shared" si="10"/>
        <v>0</v>
      </c>
      <c r="U33" s="86">
        <f t="shared" si="11"/>
        <v>0</v>
      </c>
      <c r="V33" s="99">
        <f t="shared" si="12"/>
        <v>0</v>
      </c>
    </row>
    <row r="34" spans="1:22" ht="15" x14ac:dyDescent="0.25">
      <c r="A34" s="98">
        <f t="shared" si="6"/>
        <v>32</v>
      </c>
      <c r="B34" s="86"/>
      <c r="C34" s="86"/>
      <c r="D34" s="86"/>
      <c r="E34" s="86">
        <v>1</v>
      </c>
      <c r="F34" s="96" t="s">
        <v>85</v>
      </c>
      <c r="G34" s="86"/>
      <c r="H34" s="86">
        <v>0</v>
      </c>
      <c r="I34" s="86">
        <v>0</v>
      </c>
      <c r="J34" s="86">
        <v>0</v>
      </c>
      <c r="K34" s="86">
        <v>0</v>
      </c>
      <c r="L34" s="86">
        <v>0</v>
      </c>
      <c r="M34" s="86">
        <f>VLOOKUP(F34,'Прайс Лазер'!$L$3:$M$9,2,0)</f>
        <v>94</v>
      </c>
      <c r="N34" s="86">
        <v>25</v>
      </c>
      <c r="O34" s="95">
        <f>VLOOKUP(E34,'Прайс Лазер'!$I$4:$J$21,2,0)</f>
        <v>1.1499999999999999</v>
      </c>
      <c r="P34" s="86">
        <f>HLOOKUP('Оценка лазера'!$E34,'Прайс Лазер'!$C$26:$T$34,1+VLOOKUP(F34,'Прайс Лазер'!$A$26:$B$34,2,0),0)</f>
        <v>21.849999999999998</v>
      </c>
      <c r="Q34" s="86">
        <f t="shared" si="7"/>
        <v>0</v>
      </c>
      <c r="R34" s="86">
        <f t="shared" si="8"/>
        <v>0</v>
      </c>
      <c r="S34" s="86">
        <f t="shared" si="9"/>
        <v>0</v>
      </c>
      <c r="T34" s="86">
        <f t="shared" si="10"/>
        <v>0</v>
      </c>
      <c r="U34" s="86">
        <f t="shared" si="11"/>
        <v>0</v>
      </c>
      <c r="V34" s="99">
        <f t="shared" si="12"/>
        <v>0</v>
      </c>
    </row>
    <row r="35" spans="1:22" ht="15" x14ac:dyDescent="0.25">
      <c r="A35" s="98">
        <f t="shared" si="6"/>
        <v>33</v>
      </c>
      <c r="B35" s="86"/>
      <c r="C35" s="86"/>
      <c r="D35" s="86"/>
      <c r="E35" s="86">
        <v>1</v>
      </c>
      <c r="F35" s="96" t="s">
        <v>85</v>
      </c>
      <c r="G35" s="86"/>
      <c r="H35" s="86">
        <v>0</v>
      </c>
      <c r="I35" s="86">
        <v>0</v>
      </c>
      <c r="J35" s="86">
        <v>0</v>
      </c>
      <c r="K35" s="86">
        <v>0</v>
      </c>
      <c r="L35" s="86">
        <v>0</v>
      </c>
      <c r="M35" s="86">
        <f>VLOOKUP(F35,'Прайс Лазер'!$L$3:$M$9,2,0)</f>
        <v>94</v>
      </c>
      <c r="N35" s="86">
        <v>25</v>
      </c>
      <c r="O35" s="95">
        <f>VLOOKUP(E35,'Прайс Лазер'!$I$4:$J$21,2,0)</f>
        <v>1.1499999999999999</v>
      </c>
      <c r="P35" s="86">
        <f>HLOOKUP('Оценка лазера'!$E35,'Прайс Лазер'!$C$26:$T$34,1+VLOOKUP(F35,'Прайс Лазер'!$A$26:$B$34,2,0),0)</f>
        <v>21.849999999999998</v>
      </c>
      <c r="Q35" s="86">
        <f t="shared" si="7"/>
        <v>0</v>
      </c>
      <c r="R35" s="86">
        <f t="shared" si="8"/>
        <v>0</v>
      </c>
      <c r="S35" s="86">
        <f t="shared" si="9"/>
        <v>0</v>
      </c>
      <c r="T35" s="86">
        <f t="shared" si="10"/>
        <v>0</v>
      </c>
      <c r="U35" s="86">
        <f t="shared" si="11"/>
        <v>0</v>
      </c>
      <c r="V35" s="99">
        <f t="shared" si="12"/>
        <v>0</v>
      </c>
    </row>
    <row r="36" spans="1:22" ht="15" x14ac:dyDescent="0.25">
      <c r="A36" s="98">
        <f t="shared" si="6"/>
        <v>34</v>
      </c>
      <c r="B36" s="86"/>
      <c r="C36" s="86"/>
      <c r="D36" s="86"/>
      <c r="E36" s="86">
        <v>1</v>
      </c>
      <c r="F36" s="96" t="s">
        <v>85</v>
      </c>
      <c r="G36" s="86"/>
      <c r="H36" s="86">
        <v>0</v>
      </c>
      <c r="I36" s="86">
        <v>0</v>
      </c>
      <c r="J36" s="86">
        <v>0</v>
      </c>
      <c r="K36" s="86">
        <v>0</v>
      </c>
      <c r="L36" s="86">
        <v>0</v>
      </c>
      <c r="M36" s="86">
        <f>VLOOKUP(F36,'Прайс Лазер'!$L$3:$M$9,2,0)</f>
        <v>94</v>
      </c>
      <c r="N36" s="86">
        <v>25</v>
      </c>
      <c r="O36" s="95">
        <f>VLOOKUP(E36,'Прайс Лазер'!$I$4:$J$21,2,0)</f>
        <v>1.1499999999999999</v>
      </c>
      <c r="P36" s="86">
        <f>HLOOKUP('Оценка лазера'!$E36,'Прайс Лазер'!$C$26:$T$34,1+VLOOKUP(F36,'Прайс Лазер'!$A$26:$B$34,2,0),0)</f>
        <v>21.849999999999998</v>
      </c>
      <c r="Q36" s="86">
        <f t="shared" si="7"/>
        <v>0</v>
      </c>
      <c r="R36" s="86">
        <f t="shared" si="8"/>
        <v>0</v>
      </c>
      <c r="S36" s="86">
        <f t="shared" si="9"/>
        <v>0</v>
      </c>
      <c r="T36" s="86">
        <f t="shared" si="10"/>
        <v>0</v>
      </c>
      <c r="U36" s="86">
        <f t="shared" si="11"/>
        <v>0</v>
      </c>
      <c r="V36" s="99">
        <f t="shared" si="12"/>
        <v>0</v>
      </c>
    </row>
    <row r="37" spans="1:22" ht="15" x14ac:dyDescent="0.25">
      <c r="A37" s="98">
        <f t="shared" si="6"/>
        <v>35</v>
      </c>
      <c r="B37" s="86"/>
      <c r="C37" s="86"/>
      <c r="D37" s="86"/>
      <c r="E37" s="86">
        <v>1</v>
      </c>
      <c r="F37" s="96" t="s">
        <v>85</v>
      </c>
      <c r="G37" s="86"/>
      <c r="H37" s="86">
        <v>0</v>
      </c>
      <c r="I37" s="86">
        <v>0</v>
      </c>
      <c r="J37" s="86">
        <v>0</v>
      </c>
      <c r="K37" s="86">
        <v>0</v>
      </c>
      <c r="L37" s="86">
        <v>0</v>
      </c>
      <c r="M37" s="86">
        <f>VLOOKUP(F37,'Прайс Лазер'!$L$3:$M$9,2,0)</f>
        <v>94</v>
      </c>
      <c r="N37" s="86">
        <v>25</v>
      </c>
      <c r="O37" s="95">
        <f>VLOOKUP(E37,'Прайс Лазер'!$I$4:$J$21,2,0)</f>
        <v>1.1499999999999999</v>
      </c>
      <c r="P37" s="86">
        <f>HLOOKUP('Оценка лазера'!$E37,'Прайс Лазер'!$C$26:$T$34,1+VLOOKUP(F37,'Прайс Лазер'!$A$26:$B$34,2,0),0)</f>
        <v>21.849999999999998</v>
      </c>
      <c r="Q37" s="86">
        <f t="shared" si="7"/>
        <v>0</v>
      </c>
      <c r="R37" s="86">
        <f t="shared" si="8"/>
        <v>0</v>
      </c>
      <c r="S37" s="86">
        <f t="shared" si="9"/>
        <v>0</v>
      </c>
      <c r="T37" s="86">
        <f t="shared" si="10"/>
        <v>0</v>
      </c>
      <c r="U37" s="86">
        <f t="shared" si="11"/>
        <v>0</v>
      </c>
      <c r="V37" s="99">
        <f t="shared" si="12"/>
        <v>0</v>
      </c>
    </row>
    <row r="38" spans="1:22" ht="15" x14ac:dyDescent="0.25">
      <c r="A38" s="98">
        <f t="shared" si="6"/>
        <v>36</v>
      </c>
      <c r="B38" s="86"/>
      <c r="C38" s="86"/>
      <c r="D38" s="86"/>
      <c r="E38" s="86">
        <v>1</v>
      </c>
      <c r="F38" s="96" t="s">
        <v>85</v>
      </c>
      <c r="G38" s="86"/>
      <c r="H38" s="86">
        <v>0</v>
      </c>
      <c r="I38" s="86">
        <v>0</v>
      </c>
      <c r="J38" s="86">
        <v>0</v>
      </c>
      <c r="K38" s="86">
        <v>0</v>
      </c>
      <c r="L38" s="86">
        <v>0</v>
      </c>
      <c r="M38" s="86">
        <f>VLOOKUP(F38,'Прайс Лазер'!$L$3:$M$9,2,0)</f>
        <v>94</v>
      </c>
      <c r="N38" s="86">
        <v>25</v>
      </c>
      <c r="O38" s="95">
        <f>VLOOKUP(E38,'Прайс Лазер'!$I$4:$J$21,2,0)</f>
        <v>1.1499999999999999</v>
      </c>
      <c r="P38" s="86">
        <f>HLOOKUP('Оценка лазера'!$E38,'Прайс Лазер'!$C$26:$T$34,1+VLOOKUP(F38,'Прайс Лазер'!$A$26:$B$34,2,0),0)</f>
        <v>21.849999999999998</v>
      </c>
      <c r="Q38" s="86">
        <f t="shared" si="7"/>
        <v>0</v>
      </c>
      <c r="R38" s="86">
        <f t="shared" si="8"/>
        <v>0</v>
      </c>
      <c r="S38" s="86">
        <f t="shared" si="9"/>
        <v>0</v>
      </c>
      <c r="T38" s="86">
        <f t="shared" si="10"/>
        <v>0</v>
      </c>
      <c r="U38" s="86">
        <f t="shared" si="11"/>
        <v>0</v>
      </c>
      <c r="V38" s="99">
        <f t="shared" si="12"/>
        <v>0</v>
      </c>
    </row>
    <row r="39" spans="1:22" ht="15" x14ac:dyDescent="0.25">
      <c r="A39" s="98">
        <f t="shared" si="6"/>
        <v>37</v>
      </c>
      <c r="B39" s="86"/>
      <c r="C39" s="86"/>
      <c r="D39" s="86"/>
      <c r="E39" s="86">
        <v>1</v>
      </c>
      <c r="F39" s="96" t="s">
        <v>85</v>
      </c>
      <c r="G39" s="86"/>
      <c r="H39" s="86">
        <v>0</v>
      </c>
      <c r="I39" s="86">
        <v>0</v>
      </c>
      <c r="J39" s="86">
        <v>0</v>
      </c>
      <c r="K39" s="86">
        <v>0</v>
      </c>
      <c r="L39" s="86">
        <v>0</v>
      </c>
      <c r="M39" s="86">
        <f>VLOOKUP(F39,'Прайс Лазер'!$L$3:$M$9,2,0)</f>
        <v>94</v>
      </c>
      <c r="N39" s="86">
        <v>25</v>
      </c>
      <c r="O39" s="95">
        <f>VLOOKUP(E39,'Прайс Лазер'!$I$4:$J$21,2,0)</f>
        <v>1.1499999999999999</v>
      </c>
      <c r="P39" s="86">
        <f>HLOOKUP('Оценка лазера'!$E39,'Прайс Лазер'!$C$26:$T$34,1+VLOOKUP(F39,'Прайс Лазер'!$A$26:$B$34,2,0),0)</f>
        <v>21.849999999999998</v>
      </c>
      <c r="Q39" s="86">
        <f t="shared" si="7"/>
        <v>0</v>
      </c>
      <c r="R39" s="86">
        <f t="shared" si="8"/>
        <v>0</v>
      </c>
      <c r="S39" s="86">
        <f t="shared" si="9"/>
        <v>0</v>
      </c>
      <c r="T39" s="86">
        <f t="shared" si="10"/>
        <v>0</v>
      </c>
      <c r="U39" s="86">
        <f t="shared" si="11"/>
        <v>0</v>
      </c>
      <c r="V39" s="99">
        <f t="shared" si="12"/>
        <v>0</v>
      </c>
    </row>
    <row r="40" spans="1:22" ht="15" x14ac:dyDescent="0.25">
      <c r="A40" s="98">
        <f t="shared" si="6"/>
        <v>38</v>
      </c>
      <c r="B40" s="86"/>
      <c r="C40" s="86"/>
      <c r="D40" s="86"/>
      <c r="E40" s="86">
        <v>1</v>
      </c>
      <c r="F40" s="96" t="s">
        <v>85</v>
      </c>
      <c r="G40" s="86"/>
      <c r="H40" s="86">
        <v>0</v>
      </c>
      <c r="I40" s="86">
        <v>0</v>
      </c>
      <c r="J40" s="86">
        <v>0</v>
      </c>
      <c r="K40" s="86">
        <v>0</v>
      </c>
      <c r="L40" s="86">
        <v>0</v>
      </c>
      <c r="M40" s="86">
        <f>VLOOKUP(F40,'Прайс Лазер'!$L$3:$M$9,2,0)</f>
        <v>94</v>
      </c>
      <c r="N40" s="86">
        <v>25</v>
      </c>
      <c r="O40" s="95">
        <f>VLOOKUP(E40,'Прайс Лазер'!$I$4:$J$21,2,0)</f>
        <v>1.1499999999999999</v>
      </c>
      <c r="P40" s="86">
        <f>HLOOKUP('Оценка лазера'!$E40,'Прайс Лазер'!$C$26:$T$34,1+VLOOKUP(F40,'Прайс Лазер'!$A$26:$B$34,2,0),0)</f>
        <v>21.849999999999998</v>
      </c>
      <c r="Q40" s="86">
        <f t="shared" si="7"/>
        <v>0</v>
      </c>
      <c r="R40" s="86">
        <f t="shared" si="8"/>
        <v>0</v>
      </c>
      <c r="S40" s="86">
        <f t="shared" si="9"/>
        <v>0</v>
      </c>
      <c r="T40" s="86">
        <f t="shared" si="10"/>
        <v>0</v>
      </c>
      <c r="U40" s="86">
        <f t="shared" si="11"/>
        <v>0</v>
      </c>
      <c r="V40" s="99">
        <f t="shared" si="12"/>
        <v>0</v>
      </c>
    </row>
    <row r="41" spans="1:22" ht="15" x14ac:dyDescent="0.25">
      <c r="A41" s="98">
        <f t="shared" si="6"/>
        <v>39</v>
      </c>
      <c r="B41" s="86"/>
      <c r="C41" s="86"/>
      <c r="D41" s="86"/>
      <c r="E41" s="86">
        <v>1</v>
      </c>
      <c r="F41" s="96" t="s">
        <v>85</v>
      </c>
      <c r="G41" s="86"/>
      <c r="H41" s="86">
        <v>0</v>
      </c>
      <c r="I41" s="86">
        <v>0</v>
      </c>
      <c r="J41" s="86">
        <v>0</v>
      </c>
      <c r="K41" s="86">
        <v>0</v>
      </c>
      <c r="L41" s="86">
        <v>0</v>
      </c>
      <c r="M41" s="86">
        <f>VLOOKUP(F41,'Прайс Лазер'!$L$3:$M$9,2,0)</f>
        <v>94</v>
      </c>
      <c r="N41" s="86">
        <v>25</v>
      </c>
      <c r="O41" s="95">
        <f>VLOOKUP(E41,'Прайс Лазер'!$I$4:$J$21,2,0)</f>
        <v>1.1499999999999999</v>
      </c>
      <c r="P41" s="86">
        <f>HLOOKUP('Оценка лазера'!$E41,'Прайс Лазер'!$C$26:$T$34,1+VLOOKUP(F41,'Прайс Лазер'!$A$26:$B$34,2,0),0)</f>
        <v>21.849999999999998</v>
      </c>
      <c r="Q41" s="86">
        <f t="shared" si="7"/>
        <v>0</v>
      </c>
      <c r="R41" s="86">
        <f t="shared" si="8"/>
        <v>0</v>
      </c>
      <c r="S41" s="86">
        <f t="shared" si="9"/>
        <v>0</v>
      </c>
      <c r="T41" s="86">
        <f t="shared" si="10"/>
        <v>0</v>
      </c>
      <c r="U41" s="86">
        <f t="shared" si="11"/>
        <v>0</v>
      </c>
      <c r="V41" s="99">
        <f t="shared" si="12"/>
        <v>0</v>
      </c>
    </row>
    <row r="42" spans="1:22" ht="15" x14ac:dyDescent="0.25">
      <c r="A42" s="98">
        <f t="shared" si="6"/>
        <v>40</v>
      </c>
      <c r="B42" s="86"/>
      <c r="C42" s="86"/>
      <c r="D42" s="86"/>
      <c r="E42" s="86">
        <v>1</v>
      </c>
      <c r="F42" s="96" t="s">
        <v>85</v>
      </c>
      <c r="G42" s="86"/>
      <c r="H42" s="86">
        <v>0</v>
      </c>
      <c r="I42" s="86">
        <v>0</v>
      </c>
      <c r="J42" s="86">
        <v>0</v>
      </c>
      <c r="K42" s="86">
        <v>0</v>
      </c>
      <c r="L42" s="86">
        <v>0</v>
      </c>
      <c r="M42" s="86">
        <f>VLOOKUP(F42,'Прайс Лазер'!$L$3:$M$9,2,0)</f>
        <v>94</v>
      </c>
      <c r="N42" s="86">
        <v>25</v>
      </c>
      <c r="O42" s="95">
        <f>VLOOKUP(E42,'Прайс Лазер'!$I$4:$J$21,2,0)</f>
        <v>1.1499999999999999</v>
      </c>
      <c r="P42" s="86">
        <f>HLOOKUP('Оценка лазера'!$E42,'Прайс Лазер'!$C$26:$T$34,1+VLOOKUP(F42,'Прайс Лазер'!$A$26:$B$34,2,0),0)</f>
        <v>21.849999999999998</v>
      </c>
      <c r="Q42" s="86">
        <f t="shared" si="7"/>
        <v>0</v>
      </c>
      <c r="R42" s="86">
        <f t="shared" si="8"/>
        <v>0</v>
      </c>
      <c r="S42" s="86">
        <f t="shared" si="9"/>
        <v>0</v>
      </c>
      <c r="T42" s="86">
        <f t="shared" si="10"/>
        <v>0</v>
      </c>
      <c r="U42" s="86">
        <f t="shared" si="11"/>
        <v>0</v>
      </c>
      <c r="V42" s="99">
        <f t="shared" si="12"/>
        <v>0</v>
      </c>
    </row>
    <row r="43" spans="1:22" ht="15" x14ac:dyDescent="0.25">
      <c r="A43" s="98">
        <f t="shared" si="6"/>
        <v>41</v>
      </c>
      <c r="B43" s="86"/>
      <c r="C43" s="86"/>
      <c r="D43" s="86"/>
      <c r="E43" s="86">
        <v>1</v>
      </c>
      <c r="F43" s="96" t="s">
        <v>85</v>
      </c>
      <c r="G43" s="86"/>
      <c r="H43" s="86">
        <v>0</v>
      </c>
      <c r="I43" s="86">
        <v>0</v>
      </c>
      <c r="J43" s="86">
        <v>0</v>
      </c>
      <c r="K43" s="86">
        <v>0</v>
      </c>
      <c r="L43" s="86">
        <v>0</v>
      </c>
      <c r="M43" s="86">
        <f>VLOOKUP(F43,'Прайс Лазер'!$L$3:$M$9,2,0)</f>
        <v>94</v>
      </c>
      <c r="N43" s="86">
        <v>25</v>
      </c>
      <c r="O43" s="95">
        <f>VLOOKUP(E43,'Прайс Лазер'!$I$4:$J$21,2,0)</f>
        <v>1.1499999999999999</v>
      </c>
      <c r="P43" s="86">
        <f>HLOOKUP('Оценка лазера'!$E43,'Прайс Лазер'!$C$26:$T$34,1+VLOOKUP(F43,'Прайс Лазер'!$A$26:$B$34,2,0),0)</f>
        <v>21.849999999999998</v>
      </c>
      <c r="Q43" s="86">
        <f t="shared" si="7"/>
        <v>0</v>
      </c>
      <c r="R43" s="86">
        <f t="shared" si="8"/>
        <v>0</v>
      </c>
      <c r="S43" s="86">
        <f t="shared" si="9"/>
        <v>0</v>
      </c>
      <c r="T43" s="86">
        <f t="shared" si="10"/>
        <v>0</v>
      </c>
      <c r="U43" s="86">
        <f t="shared" si="11"/>
        <v>0</v>
      </c>
      <c r="V43" s="99">
        <f t="shared" si="12"/>
        <v>0</v>
      </c>
    </row>
    <row r="44" spans="1:22" ht="15" x14ac:dyDescent="0.25">
      <c r="A44" s="98">
        <f t="shared" si="6"/>
        <v>42</v>
      </c>
      <c r="B44" s="86"/>
      <c r="C44" s="86"/>
      <c r="D44" s="86"/>
      <c r="E44" s="86">
        <v>1</v>
      </c>
      <c r="F44" s="96" t="s">
        <v>85</v>
      </c>
      <c r="G44" s="86"/>
      <c r="H44" s="86">
        <v>0</v>
      </c>
      <c r="I44" s="86">
        <v>0</v>
      </c>
      <c r="J44" s="86">
        <v>0</v>
      </c>
      <c r="K44" s="86">
        <v>0</v>
      </c>
      <c r="L44" s="86">
        <v>0</v>
      </c>
      <c r="M44" s="86">
        <f>VLOOKUP(F44,'Прайс Лазер'!$L$3:$M$9,2,0)</f>
        <v>94</v>
      </c>
      <c r="N44" s="86">
        <v>25</v>
      </c>
      <c r="O44" s="95">
        <f>VLOOKUP(E44,'Прайс Лазер'!$I$4:$J$21,2,0)</f>
        <v>1.1499999999999999</v>
      </c>
      <c r="P44" s="86">
        <f>HLOOKUP('Оценка лазера'!$E44,'Прайс Лазер'!$C$26:$T$34,1+VLOOKUP(F44,'Прайс Лазер'!$A$26:$B$34,2,0),0)</f>
        <v>21.849999999999998</v>
      </c>
      <c r="Q44" s="86">
        <f t="shared" si="7"/>
        <v>0</v>
      </c>
      <c r="R44" s="86">
        <f t="shared" si="8"/>
        <v>0</v>
      </c>
      <c r="S44" s="86">
        <f t="shared" si="9"/>
        <v>0</v>
      </c>
      <c r="T44" s="86">
        <f t="shared" si="10"/>
        <v>0</v>
      </c>
      <c r="U44" s="86">
        <f t="shared" si="11"/>
        <v>0</v>
      </c>
      <c r="V44" s="99">
        <f t="shared" si="12"/>
        <v>0</v>
      </c>
    </row>
    <row r="45" spans="1:22" ht="15" x14ac:dyDescent="0.25">
      <c r="A45" s="98">
        <f t="shared" si="6"/>
        <v>43</v>
      </c>
      <c r="B45" s="86"/>
      <c r="C45" s="86"/>
      <c r="D45" s="86"/>
      <c r="E45" s="86">
        <v>1</v>
      </c>
      <c r="F45" s="96" t="s">
        <v>85</v>
      </c>
      <c r="G45" s="86"/>
      <c r="H45" s="86">
        <v>0</v>
      </c>
      <c r="I45" s="86">
        <v>0</v>
      </c>
      <c r="J45" s="86">
        <v>0</v>
      </c>
      <c r="K45" s="86">
        <v>0</v>
      </c>
      <c r="L45" s="86">
        <v>0</v>
      </c>
      <c r="M45" s="86">
        <f>VLOOKUP(F45,'Прайс Лазер'!$L$3:$M$9,2,0)</f>
        <v>94</v>
      </c>
      <c r="N45" s="86">
        <v>25</v>
      </c>
      <c r="O45" s="95">
        <f>VLOOKUP(E45,'Прайс Лазер'!$I$4:$J$21,2,0)</f>
        <v>1.1499999999999999</v>
      </c>
      <c r="P45" s="86">
        <f>HLOOKUP('Оценка лазера'!$E45,'Прайс Лазер'!$C$26:$T$34,1+VLOOKUP(F45,'Прайс Лазер'!$A$26:$B$34,2,0),0)</f>
        <v>21.849999999999998</v>
      </c>
      <c r="Q45" s="86">
        <f t="shared" si="7"/>
        <v>0</v>
      </c>
      <c r="R45" s="86">
        <f t="shared" si="8"/>
        <v>0</v>
      </c>
      <c r="S45" s="86">
        <f t="shared" si="9"/>
        <v>0</v>
      </c>
      <c r="T45" s="86">
        <f t="shared" si="10"/>
        <v>0</v>
      </c>
      <c r="U45" s="86">
        <f t="shared" si="11"/>
        <v>0</v>
      </c>
      <c r="V45" s="99">
        <f t="shared" si="12"/>
        <v>0</v>
      </c>
    </row>
    <row r="46" spans="1:22" ht="15" x14ac:dyDescent="0.25">
      <c r="A46" s="98">
        <f t="shared" si="6"/>
        <v>44</v>
      </c>
      <c r="B46" s="86"/>
      <c r="C46" s="86"/>
      <c r="D46" s="86"/>
      <c r="E46" s="86">
        <v>1</v>
      </c>
      <c r="F46" s="96" t="s">
        <v>85</v>
      </c>
      <c r="G46" s="86"/>
      <c r="H46" s="86">
        <v>0</v>
      </c>
      <c r="I46" s="86">
        <v>0</v>
      </c>
      <c r="J46" s="86">
        <v>0</v>
      </c>
      <c r="K46" s="86">
        <v>0</v>
      </c>
      <c r="L46" s="86">
        <v>0</v>
      </c>
      <c r="M46" s="86">
        <f>VLOOKUP(F46,'Прайс Лазер'!$L$3:$M$9,2,0)</f>
        <v>94</v>
      </c>
      <c r="N46" s="86">
        <v>25</v>
      </c>
      <c r="O46" s="95">
        <f>VLOOKUP(E46,'Прайс Лазер'!$I$4:$J$21,2,0)</f>
        <v>1.1499999999999999</v>
      </c>
      <c r="P46" s="86">
        <f>HLOOKUP('Оценка лазера'!$E46,'Прайс Лазер'!$C$26:$T$34,1+VLOOKUP(F46,'Прайс Лазер'!$A$26:$B$34,2,0),0)</f>
        <v>21.849999999999998</v>
      </c>
      <c r="Q46" s="86">
        <f t="shared" si="7"/>
        <v>0</v>
      </c>
      <c r="R46" s="86">
        <f t="shared" si="8"/>
        <v>0</v>
      </c>
      <c r="S46" s="86">
        <f t="shared" si="9"/>
        <v>0</v>
      </c>
      <c r="T46" s="86">
        <f t="shared" si="10"/>
        <v>0</v>
      </c>
      <c r="U46" s="86">
        <f t="shared" si="11"/>
        <v>0</v>
      </c>
      <c r="V46" s="99">
        <f t="shared" si="12"/>
        <v>0</v>
      </c>
    </row>
    <row r="47" spans="1:22" ht="15" x14ac:dyDescent="0.25">
      <c r="A47" s="98">
        <f t="shared" si="6"/>
        <v>45</v>
      </c>
      <c r="B47" s="86"/>
      <c r="C47" s="86"/>
      <c r="D47" s="86"/>
      <c r="E47" s="86">
        <v>1</v>
      </c>
      <c r="F47" s="96" t="s">
        <v>85</v>
      </c>
      <c r="G47" s="86"/>
      <c r="H47" s="86">
        <v>0</v>
      </c>
      <c r="I47" s="86">
        <v>0</v>
      </c>
      <c r="J47" s="86">
        <v>0</v>
      </c>
      <c r="K47" s="86">
        <v>0</v>
      </c>
      <c r="L47" s="86">
        <v>0</v>
      </c>
      <c r="M47" s="86">
        <f>VLOOKUP(F47,'Прайс Лазер'!$L$3:$M$9,2,0)</f>
        <v>94</v>
      </c>
      <c r="N47" s="86">
        <v>25</v>
      </c>
      <c r="O47" s="95">
        <f>VLOOKUP(E47,'Прайс Лазер'!$I$4:$J$21,2,0)</f>
        <v>1.1499999999999999</v>
      </c>
      <c r="P47" s="86">
        <f>HLOOKUP('Оценка лазера'!$E47,'Прайс Лазер'!$C$26:$T$34,1+VLOOKUP(F47,'Прайс Лазер'!$A$26:$B$34,2,0),0)</f>
        <v>21.849999999999998</v>
      </c>
      <c r="Q47" s="86">
        <f t="shared" si="7"/>
        <v>0</v>
      </c>
      <c r="R47" s="86">
        <f t="shared" si="8"/>
        <v>0</v>
      </c>
      <c r="S47" s="86">
        <f t="shared" si="9"/>
        <v>0</v>
      </c>
      <c r="T47" s="86">
        <f t="shared" si="10"/>
        <v>0</v>
      </c>
      <c r="U47" s="86">
        <f t="shared" si="11"/>
        <v>0</v>
      </c>
      <c r="V47" s="99">
        <f t="shared" si="12"/>
        <v>0</v>
      </c>
    </row>
    <row r="48" spans="1:22" ht="15" x14ac:dyDescent="0.25">
      <c r="A48" s="98">
        <f t="shared" si="6"/>
        <v>46</v>
      </c>
      <c r="B48" s="86"/>
      <c r="C48" s="86"/>
      <c r="D48" s="86"/>
      <c r="E48" s="86">
        <v>1</v>
      </c>
      <c r="F48" s="96" t="s">
        <v>85</v>
      </c>
      <c r="G48" s="86"/>
      <c r="H48" s="86">
        <v>0</v>
      </c>
      <c r="I48" s="86">
        <v>0</v>
      </c>
      <c r="J48" s="86">
        <v>0</v>
      </c>
      <c r="K48" s="86">
        <v>0</v>
      </c>
      <c r="L48" s="86">
        <v>0</v>
      </c>
      <c r="M48" s="86">
        <f>VLOOKUP(F48,'Прайс Лазер'!$L$3:$M$9,2,0)</f>
        <v>94</v>
      </c>
      <c r="N48" s="86">
        <v>25</v>
      </c>
      <c r="O48" s="95">
        <f>VLOOKUP(E48,'Прайс Лазер'!$I$4:$J$21,2,0)</f>
        <v>1.1499999999999999</v>
      </c>
      <c r="P48" s="86">
        <f>HLOOKUP('Оценка лазера'!$E48,'Прайс Лазер'!$C$26:$T$34,1+VLOOKUP(F48,'Прайс Лазер'!$A$26:$B$34,2,0),0)</f>
        <v>21.849999999999998</v>
      </c>
      <c r="Q48" s="86">
        <f t="shared" si="7"/>
        <v>0</v>
      </c>
      <c r="R48" s="86">
        <f t="shared" si="8"/>
        <v>0</v>
      </c>
      <c r="S48" s="86">
        <f t="shared" si="9"/>
        <v>0</v>
      </c>
      <c r="T48" s="86">
        <f t="shared" si="10"/>
        <v>0</v>
      </c>
      <c r="U48" s="86">
        <f t="shared" si="11"/>
        <v>0</v>
      </c>
      <c r="V48" s="99">
        <f t="shared" si="12"/>
        <v>0</v>
      </c>
    </row>
    <row r="49" spans="1:22" ht="15" x14ac:dyDescent="0.25">
      <c r="A49" s="98">
        <f t="shared" si="6"/>
        <v>47</v>
      </c>
      <c r="B49" s="86"/>
      <c r="C49" s="86"/>
      <c r="D49" s="86"/>
      <c r="E49" s="86">
        <v>1</v>
      </c>
      <c r="F49" s="96" t="s">
        <v>85</v>
      </c>
      <c r="G49" s="86"/>
      <c r="H49" s="86">
        <v>0</v>
      </c>
      <c r="I49" s="86">
        <v>0</v>
      </c>
      <c r="J49" s="86">
        <v>0</v>
      </c>
      <c r="K49" s="86">
        <v>0</v>
      </c>
      <c r="L49" s="86">
        <v>0</v>
      </c>
      <c r="M49" s="86">
        <f>VLOOKUP(F49,'Прайс Лазер'!$L$3:$M$9,2,0)</f>
        <v>94</v>
      </c>
      <c r="N49" s="86">
        <v>25</v>
      </c>
      <c r="O49" s="95">
        <f>VLOOKUP(E49,'Прайс Лазер'!$I$4:$J$21,2,0)</f>
        <v>1.1499999999999999</v>
      </c>
      <c r="P49" s="86">
        <f>HLOOKUP('Оценка лазера'!$E49,'Прайс Лазер'!$C$26:$T$34,1+VLOOKUP(F49,'Прайс Лазер'!$A$26:$B$34,2,0),0)</f>
        <v>21.849999999999998</v>
      </c>
      <c r="Q49" s="86">
        <f t="shared" si="7"/>
        <v>0</v>
      </c>
      <c r="R49" s="86">
        <f t="shared" si="8"/>
        <v>0</v>
      </c>
      <c r="S49" s="86">
        <f t="shared" si="9"/>
        <v>0</v>
      </c>
      <c r="T49" s="86">
        <f t="shared" si="10"/>
        <v>0</v>
      </c>
      <c r="U49" s="86">
        <f t="shared" si="11"/>
        <v>0</v>
      </c>
      <c r="V49" s="99">
        <f t="shared" si="12"/>
        <v>0</v>
      </c>
    </row>
    <row r="50" spans="1:22" ht="15" x14ac:dyDescent="0.25">
      <c r="A50" s="98">
        <f t="shared" si="6"/>
        <v>48</v>
      </c>
      <c r="B50" s="86"/>
      <c r="C50" s="86"/>
      <c r="D50" s="86"/>
      <c r="E50" s="86">
        <v>1</v>
      </c>
      <c r="F50" s="96" t="s">
        <v>85</v>
      </c>
      <c r="G50" s="86"/>
      <c r="H50" s="86">
        <v>0</v>
      </c>
      <c r="I50" s="86">
        <v>0</v>
      </c>
      <c r="J50" s="86">
        <v>0</v>
      </c>
      <c r="K50" s="86">
        <v>0</v>
      </c>
      <c r="L50" s="86">
        <v>0</v>
      </c>
      <c r="M50" s="86">
        <f>VLOOKUP(F50,'Прайс Лазер'!$L$3:$M$9,2,0)</f>
        <v>94</v>
      </c>
      <c r="N50" s="86">
        <v>25</v>
      </c>
      <c r="O50" s="95">
        <f>VLOOKUP(E50,'Прайс Лазер'!$I$4:$J$21,2,0)</f>
        <v>1.1499999999999999</v>
      </c>
      <c r="P50" s="86">
        <f>HLOOKUP('Оценка лазера'!$E50,'Прайс Лазер'!$C$26:$T$34,1+VLOOKUP(F50,'Прайс Лазер'!$A$26:$B$34,2,0),0)</f>
        <v>21.849999999999998</v>
      </c>
      <c r="Q50" s="86">
        <f t="shared" si="7"/>
        <v>0</v>
      </c>
      <c r="R50" s="86">
        <f t="shared" si="8"/>
        <v>0</v>
      </c>
      <c r="S50" s="86">
        <f t="shared" si="9"/>
        <v>0</v>
      </c>
      <c r="T50" s="86">
        <f t="shared" si="10"/>
        <v>0</v>
      </c>
      <c r="U50" s="86">
        <f t="shared" si="11"/>
        <v>0</v>
      </c>
      <c r="V50" s="99">
        <f t="shared" si="12"/>
        <v>0</v>
      </c>
    </row>
    <row r="51" spans="1:22" ht="15" x14ac:dyDescent="0.25">
      <c r="A51" s="98">
        <f t="shared" si="6"/>
        <v>49</v>
      </c>
      <c r="B51" s="86"/>
      <c r="C51" s="86"/>
      <c r="D51" s="86"/>
      <c r="E51" s="86">
        <v>1</v>
      </c>
      <c r="F51" s="96" t="s">
        <v>85</v>
      </c>
      <c r="G51" s="86"/>
      <c r="H51" s="86">
        <v>0</v>
      </c>
      <c r="I51" s="86">
        <v>0</v>
      </c>
      <c r="J51" s="86">
        <v>0</v>
      </c>
      <c r="K51" s="86">
        <v>0</v>
      </c>
      <c r="L51" s="86">
        <v>0</v>
      </c>
      <c r="M51" s="86">
        <f>VLOOKUP(F51,'Прайс Лазер'!$L$3:$M$9,2,0)</f>
        <v>94</v>
      </c>
      <c r="N51" s="86">
        <v>25</v>
      </c>
      <c r="O51" s="95">
        <f>VLOOKUP(E51,'Прайс Лазер'!$I$4:$J$21,2,0)</f>
        <v>1.1499999999999999</v>
      </c>
      <c r="P51" s="86">
        <f>HLOOKUP('Оценка лазера'!$E51,'Прайс Лазер'!$C$26:$T$34,1+VLOOKUP(F51,'Прайс Лазер'!$A$26:$B$34,2,0),0)</f>
        <v>21.849999999999998</v>
      </c>
      <c r="Q51" s="86">
        <f t="shared" si="7"/>
        <v>0</v>
      </c>
      <c r="R51" s="86">
        <f t="shared" si="8"/>
        <v>0</v>
      </c>
      <c r="S51" s="86">
        <f t="shared" si="9"/>
        <v>0</v>
      </c>
      <c r="T51" s="86">
        <f t="shared" si="10"/>
        <v>0</v>
      </c>
      <c r="U51" s="86">
        <f t="shared" si="11"/>
        <v>0</v>
      </c>
      <c r="V51" s="99">
        <f t="shared" si="12"/>
        <v>0</v>
      </c>
    </row>
    <row r="52" spans="1:22" ht="15" x14ac:dyDescent="0.25">
      <c r="A52" s="98">
        <f t="shared" si="6"/>
        <v>50</v>
      </c>
      <c r="B52" s="86"/>
      <c r="C52" s="86"/>
      <c r="D52" s="86"/>
      <c r="E52" s="86">
        <v>1</v>
      </c>
      <c r="F52" s="96" t="s">
        <v>85</v>
      </c>
      <c r="G52" s="86"/>
      <c r="H52" s="86">
        <v>0</v>
      </c>
      <c r="I52" s="86">
        <v>0</v>
      </c>
      <c r="J52" s="86">
        <v>0</v>
      </c>
      <c r="K52" s="86">
        <v>0</v>
      </c>
      <c r="L52" s="86">
        <v>0</v>
      </c>
      <c r="M52" s="86">
        <f>VLOOKUP(F52,'Прайс Лазер'!$L$3:$M$9,2,0)</f>
        <v>94</v>
      </c>
      <c r="N52" s="86">
        <v>25</v>
      </c>
      <c r="O52" s="95">
        <f>VLOOKUP(E52,'Прайс Лазер'!$I$4:$J$21,2,0)</f>
        <v>1.1499999999999999</v>
      </c>
      <c r="P52" s="86">
        <f>HLOOKUP('Оценка лазера'!$E52,'Прайс Лазер'!$C$26:$T$34,1+VLOOKUP(F52,'Прайс Лазер'!$A$26:$B$34,2,0),0)</f>
        <v>21.849999999999998</v>
      </c>
      <c r="Q52" s="86">
        <f t="shared" si="7"/>
        <v>0</v>
      </c>
      <c r="R52" s="86">
        <f t="shared" si="8"/>
        <v>0</v>
      </c>
      <c r="S52" s="86">
        <f t="shared" si="9"/>
        <v>0</v>
      </c>
      <c r="T52" s="86">
        <f t="shared" si="10"/>
        <v>0</v>
      </c>
      <c r="U52" s="86">
        <f t="shared" si="11"/>
        <v>0</v>
      </c>
      <c r="V52" s="99">
        <f t="shared" si="12"/>
        <v>0</v>
      </c>
    </row>
    <row r="53" spans="1:22" ht="15" x14ac:dyDescent="0.25">
      <c r="A53" s="98">
        <f t="shared" si="6"/>
        <v>51</v>
      </c>
      <c r="B53" s="86"/>
      <c r="C53" s="86"/>
      <c r="D53" s="86"/>
      <c r="E53" s="86">
        <v>1</v>
      </c>
      <c r="F53" s="96" t="s">
        <v>85</v>
      </c>
      <c r="G53" s="86"/>
      <c r="H53" s="86">
        <v>0</v>
      </c>
      <c r="I53" s="86">
        <v>0</v>
      </c>
      <c r="J53" s="86">
        <v>0</v>
      </c>
      <c r="K53" s="86">
        <v>0</v>
      </c>
      <c r="L53" s="86">
        <v>0</v>
      </c>
      <c r="M53" s="86">
        <f>VLOOKUP(F53,'Прайс Лазер'!$L$3:$M$9,2,0)</f>
        <v>94</v>
      </c>
      <c r="N53" s="86">
        <v>25</v>
      </c>
      <c r="O53" s="95">
        <f>VLOOKUP(E53,'Прайс Лазер'!$I$4:$J$21,2,0)</f>
        <v>1.1499999999999999</v>
      </c>
      <c r="P53" s="86">
        <f>HLOOKUP('Оценка лазера'!$E53,'Прайс Лазер'!$C$26:$T$34,1+VLOOKUP(F53,'Прайс Лазер'!$A$26:$B$34,2,0),0)</f>
        <v>21.849999999999998</v>
      </c>
      <c r="Q53" s="86">
        <f t="shared" si="7"/>
        <v>0</v>
      </c>
      <c r="R53" s="86">
        <f t="shared" si="8"/>
        <v>0</v>
      </c>
      <c r="S53" s="86">
        <f t="shared" si="9"/>
        <v>0</v>
      </c>
      <c r="T53" s="86">
        <f t="shared" si="10"/>
        <v>0</v>
      </c>
      <c r="U53" s="86">
        <f t="shared" si="11"/>
        <v>0</v>
      </c>
      <c r="V53" s="99">
        <f t="shared" si="12"/>
        <v>0</v>
      </c>
    </row>
    <row r="54" spans="1:22" ht="15" x14ac:dyDescent="0.25">
      <c r="A54" s="98">
        <f t="shared" si="6"/>
        <v>52</v>
      </c>
      <c r="B54" s="86"/>
      <c r="C54" s="86"/>
      <c r="D54" s="86"/>
      <c r="E54" s="86">
        <v>1</v>
      </c>
      <c r="F54" s="96" t="s">
        <v>85</v>
      </c>
      <c r="G54" s="86"/>
      <c r="H54" s="86">
        <v>0</v>
      </c>
      <c r="I54" s="86">
        <v>0</v>
      </c>
      <c r="J54" s="86">
        <v>0</v>
      </c>
      <c r="K54" s="86">
        <v>0</v>
      </c>
      <c r="L54" s="86">
        <v>0</v>
      </c>
      <c r="M54" s="86">
        <f>VLOOKUP(F54,'Прайс Лазер'!$L$3:$M$9,2,0)</f>
        <v>94</v>
      </c>
      <c r="N54" s="86">
        <v>25</v>
      </c>
      <c r="O54" s="95">
        <f>VLOOKUP(E54,'Прайс Лазер'!$I$4:$J$21,2,0)</f>
        <v>1.1499999999999999</v>
      </c>
      <c r="P54" s="86">
        <f>HLOOKUP('Оценка лазера'!$E54,'Прайс Лазер'!$C$26:$T$34,1+VLOOKUP(F54,'Прайс Лазер'!$A$26:$B$34,2,0),0)</f>
        <v>21.849999999999998</v>
      </c>
      <c r="Q54" s="86">
        <f t="shared" si="7"/>
        <v>0</v>
      </c>
      <c r="R54" s="86">
        <f t="shared" si="8"/>
        <v>0</v>
      </c>
      <c r="S54" s="86">
        <f t="shared" si="9"/>
        <v>0</v>
      </c>
      <c r="T54" s="86">
        <f t="shared" si="10"/>
        <v>0</v>
      </c>
      <c r="U54" s="86">
        <f t="shared" si="11"/>
        <v>0</v>
      </c>
      <c r="V54" s="99">
        <f t="shared" si="12"/>
        <v>0</v>
      </c>
    </row>
    <row r="55" spans="1:22" ht="15" x14ac:dyDescent="0.25">
      <c r="A55" s="98">
        <f t="shared" si="6"/>
        <v>53</v>
      </c>
      <c r="B55" s="86"/>
      <c r="C55" s="86"/>
      <c r="D55" s="86"/>
      <c r="E55" s="86">
        <v>1</v>
      </c>
      <c r="F55" s="96" t="s">
        <v>85</v>
      </c>
      <c r="G55" s="86"/>
      <c r="H55" s="86">
        <v>0</v>
      </c>
      <c r="I55" s="86">
        <v>0</v>
      </c>
      <c r="J55" s="86">
        <v>0</v>
      </c>
      <c r="K55" s="86">
        <v>0</v>
      </c>
      <c r="L55" s="86">
        <v>0</v>
      </c>
      <c r="M55" s="86">
        <f>VLOOKUP(F55,'Прайс Лазер'!$L$3:$M$9,2,0)</f>
        <v>94</v>
      </c>
      <c r="N55" s="86">
        <v>25</v>
      </c>
      <c r="O55" s="95">
        <f>VLOOKUP(E55,'Прайс Лазер'!$I$4:$J$21,2,0)</f>
        <v>1.1499999999999999</v>
      </c>
      <c r="P55" s="86">
        <f>HLOOKUP('Оценка лазера'!$E55,'Прайс Лазер'!$C$26:$T$34,1+VLOOKUP(F55,'Прайс Лазер'!$A$26:$B$34,2,0),0)</f>
        <v>21.849999999999998</v>
      </c>
      <c r="Q55" s="86">
        <f t="shared" si="7"/>
        <v>0</v>
      </c>
      <c r="R55" s="86">
        <f t="shared" si="8"/>
        <v>0</v>
      </c>
      <c r="S55" s="86">
        <f t="shared" si="9"/>
        <v>0</v>
      </c>
      <c r="T55" s="86">
        <f t="shared" si="10"/>
        <v>0</v>
      </c>
      <c r="U55" s="86">
        <f t="shared" si="11"/>
        <v>0</v>
      </c>
      <c r="V55" s="99">
        <f t="shared" si="12"/>
        <v>0</v>
      </c>
    </row>
    <row r="56" spans="1:22" ht="15" x14ac:dyDescent="0.25">
      <c r="A56" s="98">
        <f t="shared" si="6"/>
        <v>54</v>
      </c>
      <c r="B56" s="86"/>
      <c r="C56" s="86"/>
      <c r="D56" s="86"/>
      <c r="E56" s="86">
        <v>1</v>
      </c>
      <c r="F56" s="96" t="s">
        <v>85</v>
      </c>
      <c r="G56" s="86"/>
      <c r="H56" s="86">
        <v>0</v>
      </c>
      <c r="I56" s="86">
        <v>0</v>
      </c>
      <c r="J56" s="86">
        <v>0</v>
      </c>
      <c r="K56" s="86">
        <v>0</v>
      </c>
      <c r="L56" s="86">
        <v>0</v>
      </c>
      <c r="M56" s="86">
        <f>VLOOKUP(F56,'Прайс Лазер'!$L$3:$M$9,2,0)</f>
        <v>94</v>
      </c>
      <c r="N56" s="86">
        <v>25</v>
      </c>
      <c r="O56" s="95">
        <f>VLOOKUP(E56,'Прайс Лазер'!$I$4:$J$21,2,0)</f>
        <v>1.1499999999999999</v>
      </c>
      <c r="P56" s="86">
        <f>HLOOKUP('Оценка лазера'!$E56,'Прайс Лазер'!$C$26:$T$34,1+VLOOKUP(F56,'Прайс Лазер'!$A$26:$B$34,2,0),0)</f>
        <v>21.849999999999998</v>
      </c>
      <c r="Q56" s="86">
        <f t="shared" si="7"/>
        <v>0</v>
      </c>
      <c r="R56" s="86">
        <f t="shared" si="8"/>
        <v>0</v>
      </c>
      <c r="S56" s="86">
        <f t="shared" si="9"/>
        <v>0</v>
      </c>
      <c r="T56" s="86">
        <f t="shared" si="10"/>
        <v>0</v>
      </c>
      <c r="U56" s="86">
        <f t="shared" si="11"/>
        <v>0</v>
      </c>
      <c r="V56" s="99">
        <f t="shared" si="12"/>
        <v>0</v>
      </c>
    </row>
    <row r="57" spans="1:22" ht="15" x14ac:dyDescent="0.25">
      <c r="A57" s="98">
        <f t="shared" si="6"/>
        <v>55</v>
      </c>
      <c r="B57" s="86"/>
      <c r="C57" s="86"/>
      <c r="D57" s="86"/>
      <c r="E57" s="86">
        <v>1</v>
      </c>
      <c r="F57" s="96" t="s">
        <v>85</v>
      </c>
      <c r="G57" s="86"/>
      <c r="H57" s="86">
        <v>0</v>
      </c>
      <c r="I57" s="86">
        <v>0</v>
      </c>
      <c r="J57" s="86">
        <v>0</v>
      </c>
      <c r="K57" s="86">
        <v>0</v>
      </c>
      <c r="L57" s="86">
        <v>0</v>
      </c>
      <c r="M57" s="86">
        <f>VLOOKUP(F57,'Прайс Лазер'!$L$3:$M$9,2,0)</f>
        <v>94</v>
      </c>
      <c r="N57" s="86">
        <v>25</v>
      </c>
      <c r="O57" s="95">
        <f>VLOOKUP(E57,'Прайс Лазер'!$I$4:$J$21,2,0)</f>
        <v>1.1499999999999999</v>
      </c>
      <c r="P57" s="86">
        <f>HLOOKUP('Оценка лазера'!$E57,'Прайс Лазер'!$C$26:$T$34,1+VLOOKUP(F57,'Прайс Лазер'!$A$26:$B$34,2,0),0)</f>
        <v>21.849999999999998</v>
      </c>
      <c r="Q57" s="86">
        <f t="shared" si="7"/>
        <v>0</v>
      </c>
      <c r="R57" s="86">
        <f t="shared" si="8"/>
        <v>0</v>
      </c>
      <c r="S57" s="86">
        <f t="shared" si="9"/>
        <v>0</v>
      </c>
      <c r="T57" s="86">
        <f t="shared" si="10"/>
        <v>0</v>
      </c>
      <c r="U57" s="86">
        <f t="shared" si="11"/>
        <v>0</v>
      </c>
      <c r="V57" s="99">
        <f t="shared" si="12"/>
        <v>0</v>
      </c>
    </row>
    <row r="58" spans="1:22" ht="15" x14ac:dyDescent="0.25">
      <c r="A58" s="98">
        <f t="shared" si="6"/>
        <v>56</v>
      </c>
      <c r="B58" s="86"/>
      <c r="C58" s="86"/>
      <c r="D58" s="86"/>
      <c r="E58" s="86">
        <v>1</v>
      </c>
      <c r="F58" s="96" t="s">
        <v>85</v>
      </c>
      <c r="G58" s="86"/>
      <c r="H58" s="86">
        <v>0</v>
      </c>
      <c r="I58" s="86">
        <v>0</v>
      </c>
      <c r="J58" s="86">
        <v>0</v>
      </c>
      <c r="K58" s="86">
        <v>0</v>
      </c>
      <c r="L58" s="86">
        <v>0</v>
      </c>
      <c r="M58" s="86">
        <f>VLOOKUP(F58,'Прайс Лазер'!$L$3:$M$9,2,0)</f>
        <v>94</v>
      </c>
      <c r="N58" s="86">
        <v>25</v>
      </c>
      <c r="O58" s="95">
        <f>VLOOKUP(E58,'Прайс Лазер'!$I$4:$J$21,2,0)</f>
        <v>1.1499999999999999</v>
      </c>
      <c r="P58" s="86">
        <f>HLOOKUP('Оценка лазера'!$E58,'Прайс Лазер'!$C$26:$T$34,1+VLOOKUP(F58,'Прайс Лазер'!$A$26:$B$34,2,0),0)</f>
        <v>21.849999999999998</v>
      </c>
      <c r="Q58" s="86">
        <f t="shared" si="7"/>
        <v>0</v>
      </c>
      <c r="R58" s="86">
        <f t="shared" si="8"/>
        <v>0</v>
      </c>
      <c r="S58" s="86">
        <f t="shared" si="9"/>
        <v>0</v>
      </c>
      <c r="T58" s="86">
        <f t="shared" si="10"/>
        <v>0</v>
      </c>
      <c r="U58" s="86">
        <f t="shared" si="11"/>
        <v>0</v>
      </c>
      <c r="V58" s="99">
        <f t="shared" si="12"/>
        <v>0</v>
      </c>
    </row>
    <row r="59" spans="1:22" ht="15" x14ac:dyDescent="0.25">
      <c r="A59" s="98">
        <f t="shared" si="6"/>
        <v>57</v>
      </c>
      <c r="B59" s="86"/>
      <c r="C59" s="86"/>
      <c r="D59" s="86"/>
      <c r="E59" s="86">
        <v>1</v>
      </c>
      <c r="F59" s="96" t="s">
        <v>85</v>
      </c>
      <c r="G59" s="86"/>
      <c r="H59" s="86">
        <v>0</v>
      </c>
      <c r="I59" s="86">
        <v>0</v>
      </c>
      <c r="J59" s="86">
        <v>0</v>
      </c>
      <c r="K59" s="86">
        <v>0</v>
      </c>
      <c r="L59" s="86">
        <v>0</v>
      </c>
      <c r="M59" s="86">
        <f>VLOOKUP(F59,'Прайс Лазер'!$L$3:$M$9,2,0)</f>
        <v>94</v>
      </c>
      <c r="N59" s="86">
        <v>25</v>
      </c>
      <c r="O59" s="95">
        <f>VLOOKUP(E59,'Прайс Лазер'!$I$4:$J$21,2,0)</f>
        <v>1.1499999999999999</v>
      </c>
      <c r="P59" s="86">
        <f>HLOOKUP('Оценка лазера'!$E59,'Прайс Лазер'!$C$26:$T$34,1+VLOOKUP(F59,'Прайс Лазер'!$A$26:$B$34,2,0),0)</f>
        <v>21.849999999999998</v>
      </c>
      <c r="Q59" s="86">
        <f t="shared" si="7"/>
        <v>0</v>
      </c>
      <c r="R59" s="86">
        <f t="shared" si="8"/>
        <v>0</v>
      </c>
      <c r="S59" s="86">
        <f t="shared" si="9"/>
        <v>0</v>
      </c>
      <c r="T59" s="86">
        <f t="shared" si="10"/>
        <v>0</v>
      </c>
      <c r="U59" s="86">
        <f t="shared" si="11"/>
        <v>0</v>
      </c>
      <c r="V59" s="99">
        <f t="shared" si="12"/>
        <v>0</v>
      </c>
    </row>
    <row r="60" spans="1:22" ht="15" x14ac:dyDescent="0.25">
      <c r="A60" s="98">
        <f t="shared" si="6"/>
        <v>58</v>
      </c>
      <c r="B60" s="86"/>
      <c r="C60" s="86"/>
      <c r="D60" s="86"/>
      <c r="E60" s="86">
        <v>1</v>
      </c>
      <c r="F60" s="96" t="s">
        <v>85</v>
      </c>
      <c r="G60" s="86"/>
      <c r="H60" s="86">
        <v>0</v>
      </c>
      <c r="I60" s="86">
        <v>0</v>
      </c>
      <c r="J60" s="86">
        <v>0</v>
      </c>
      <c r="K60" s="86">
        <v>0</v>
      </c>
      <c r="L60" s="86">
        <v>0</v>
      </c>
      <c r="M60" s="86">
        <f>VLOOKUP(F60,'Прайс Лазер'!$L$3:$M$9,2,0)</f>
        <v>94</v>
      </c>
      <c r="N60" s="86">
        <v>25</v>
      </c>
      <c r="O60" s="95">
        <f>VLOOKUP(E60,'Прайс Лазер'!$I$4:$J$21,2,0)</f>
        <v>1.1499999999999999</v>
      </c>
      <c r="P60" s="86">
        <f>HLOOKUP('Оценка лазера'!$E60,'Прайс Лазер'!$C$26:$T$34,1+VLOOKUP(F60,'Прайс Лазер'!$A$26:$B$34,2,0),0)</f>
        <v>21.849999999999998</v>
      </c>
      <c r="Q60" s="86">
        <f t="shared" si="7"/>
        <v>0</v>
      </c>
      <c r="R60" s="86">
        <f t="shared" si="8"/>
        <v>0</v>
      </c>
      <c r="S60" s="86">
        <f t="shared" si="9"/>
        <v>0</v>
      </c>
      <c r="T60" s="86">
        <f t="shared" si="10"/>
        <v>0</v>
      </c>
      <c r="U60" s="86">
        <f t="shared" si="11"/>
        <v>0</v>
      </c>
      <c r="V60" s="99">
        <f t="shared" si="12"/>
        <v>0</v>
      </c>
    </row>
    <row r="61" spans="1:22" ht="15" x14ac:dyDescent="0.25">
      <c r="A61" s="98">
        <f t="shared" si="6"/>
        <v>59</v>
      </c>
      <c r="B61" s="86"/>
      <c r="C61" s="86"/>
      <c r="D61" s="86"/>
      <c r="E61" s="86">
        <v>1</v>
      </c>
      <c r="F61" s="96" t="s">
        <v>85</v>
      </c>
      <c r="G61" s="86"/>
      <c r="H61" s="86">
        <v>0</v>
      </c>
      <c r="I61" s="86">
        <v>0</v>
      </c>
      <c r="J61" s="86">
        <v>0</v>
      </c>
      <c r="K61" s="86">
        <v>0</v>
      </c>
      <c r="L61" s="86">
        <v>0</v>
      </c>
      <c r="M61" s="86">
        <f>VLOOKUP(F61,'Прайс Лазер'!$L$3:$M$9,2,0)</f>
        <v>94</v>
      </c>
      <c r="N61" s="86">
        <v>25</v>
      </c>
      <c r="O61" s="95">
        <f>VLOOKUP(E61,'Прайс Лазер'!$I$4:$J$21,2,0)</f>
        <v>1.1499999999999999</v>
      </c>
      <c r="P61" s="86">
        <f>HLOOKUP('Оценка лазера'!$E61,'Прайс Лазер'!$C$26:$T$34,1+VLOOKUP(F61,'Прайс Лазер'!$A$26:$B$34,2,0),0)</f>
        <v>21.849999999999998</v>
      </c>
      <c r="Q61" s="86">
        <f t="shared" si="7"/>
        <v>0</v>
      </c>
      <c r="R61" s="86">
        <f t="shared" si="8"/>
        <v>0</v>
      </c>
      <c r="S61" s="86">
        <f t="shared" si="9"/>
        <v>0</v>
      </c>
      <c r="T61" s="86">
        <f t="shared" si="10"/>
        <v>0</v>
      </c>
      <c r="U61" s="86">
        <f t="shared" si="11"/>
        <v>0</v>
      </c>
      <c r="V61" s="99">
        <f t="shared" si="12"/>
        <v>0</v>
      </c>
    </row>
    <row r="62" spans="1:22" ht="15" x14ac:dyDescent="0.25">
      <c r="A62" s="98">
        <f t="shared" si="6"/>
        <v>60</v>
      </c>
      <c r="B62" s="86"/>
      <c r="C62" s="86"/>
      <c r="D62" s="86"/>
      <c r="E62" s="86">
        <v>1</v>
      </c>
      <c r="F62" s="96" t="s">
        <v>85</v>
      </c>
      <c r="G62" s="86"/>
      <c r="H62" s="86">
        <v>0</v>
      </c>
      <c r="I62" s="86">
        <v>0</v>
      </c>
      <c r="J62" s="86">
        <v>0</v>
      </c>
      <c r="K62" s="86">
        <v>0</v>
      </c>
      <c r="L62" s="86">
        <v>0</v>
      </c>
      <c r="M62" s="86">
        <f>VLOOKUP(F62,'Прайс Лазер'!$L$3:$M$9,2,0)</f>
        <v>94</v>
      </c>
      <c r="N62" s="86">
        <v>25</v>
      </c>
      <c r="O62" s="95">
        <f>VLOOKUP(E62,'Прайс Лазер'!$I$4:$J$21,2,0)</f>
        <v>1.1499999999999999</v>
      </c>
      <c r="P62" s="86">
        <f>HLOOKUP('Оценка лазера'!$E62,'Прайс Лазер'!$C$26:$T$34,1+VLOOKUP(F62,'Прайс Лазер'!$A$26:$B$34,2,0),0)</f>
        <v>21.849999999999998</v>
      </c>
      <c r="Q62" s="86">
        <f t="shared" si="7"/>
        <v>0</v>
      </c>
      <c r="R62" s="86">
        <f t="shared" si="8"/>
        <v>0</v>
      </c>
      <c r="S62" s="86">
        <f t="shared" si="9"/>
        <v>0</v>
      </c>
      <c r="T62" s="86">
        <f t="shared" si="10"/>
        <v>0</v>
      </c>
      <c r="U62" s="86">
        <f t="shared" si="11"/>
        <v>0</v>
      </c>
      <c r="V62" s="99">
        <f t="shared" si="12"/>
        <v>0</v>
      </c>
    </row>
    <row r="63" spans="1:22" ht="15" x14ac:dyDescent="0.25">
      <c r="A63" s="98">
        <f t="shared" si="6"/>
        <v>61</v>
      </c>
      <c r="B63" s="86"/>
      <c r="C63" s="86"/>
      <c r="D63" s="86"/>
      <c r="E63" s="86">
        <v>1</v>
      </c>
      <c r="F63" s="96" t="s">
        <v>85</v>
      </c>
      <c r="G63" s="86"/>
      <c r="H63" s="86">
        <v>0</v>
      </c>
      <c r="I63" s="86">
        <v>0</v>
      </c>
      <c r="J63" s="86">
        <v>0</v>
      </c>
      <c r="K63" s="86">
        <v>0</v>
      </c>
      <c r="L63" s="86">
        <v>0</v>
      </c>
      <c r="M63" s="86">
        <f>VLOOKUP(F63,'Прайс Лазер'!$L$3:$M$9,2,0)</f>
        <v>94</v>
      </c>
      <c r="N63" s="86">
        <v>25</v>
      </c>
      <c r="O63" s="95">
        <f>VLOOKUP(E63,'Прайс Лазер'!$I$4:$J$21,2,0)</f>
        <v>1.1499999999999999</v>
      </c>
      <c r="P63" s="86">
        <f>HLOOKUP('Оценка лазера'!$E63,'Прайс Лазер'!$C$26:$T$34,1+VLOOKUP(F63,'Прайс Лазер'!$A$26:$B$34,2,0),0)</f>
        <v>21.849999999999998</v>
      </c>
      <c r="Q63" s="86">
        <f t="shared" si="7"/>
        <v>0</v>
      </c>
      <c r="R63" s="86">
        <f t="shared" si="8"/>
        <v>0</v>
      </c>
      <c r="S63" s="86">
        <f t="shared" si="9"/>
        <v>0</v>
      </c>
      <c r="T63" s="86">
        <f t="shared" si="10"/>
        <v>0</v>
      </c>
      <c r="U63" s="86">
        <f t="shared" si="11"/>
        <v>0</v>
      </c>
      <c r="V63" s="99">
        <f t="shared" si="12"/>
        <v>0</v>
      </c>
    </row>
    <row r="64" spans="1:22" ht="15" x14ac:dyDescent="0.25">
      <c r="A64" s="98">
        <f t="shared" si="6"/>
        <v>62</v>
      </c>
      <c r="B64" s="86"/>
      <c r="C64" s="86"/>
      <c r="D64" s="86"/>
      <c r="E64" s="86">
        <v>1</v>
      </c>
      <c r="F64" s="96" t="s">
        <v>85</v>
      </c>
      <c r="G64" s="86"/>
      <c r="H64" s="86">
        <v>0</v>
      </c>
      <c r="I64" s="86">
        <v>0</v>
      </c>
      <c r="J64" s="86">
        <v>0</v>
      </c>
      <c r="K64" s="86">
        <v>0</v>
      </c>
      <c r="L64" s="86">
        <v>0</v>
      </c>
      <c r="M64" s="86">
        <f>VLOOKUP(F64,'Прайс Лазер'!$L$3:$M$9,2,0)</f>
        <v>94</v>
      </c>
      <c r="N64" s="86">
        <v>25</v>
      </c>
      <c r="O64" s="95">
        <f>VLOOKUP(E64,'Прайс Лазер'!$I$4:$J$21,2,0)</f>
        <v>1.1499999999999999</v>
      </c>
      <c r="P64" s="86">
        <f>HLOOKUP('Оценка лазера'!$E64,'Прайс Лазер'!$C$26:$T$34,1+VLOOKUP(F64,'Прайс Лазер'!$A$26:$B$34,2,0),0)</f>
        <v>21.849999999999998</v>
      </c>
      <c r="Q64" s="86">
        <f t="shared" si="7"/>
        <v>0</v>
      </c>
      <c r="R64" s="86">
        <f t="shared" si="8"/>
        <v>0</v>
      </c>
      <c r="S64" s="86">
        <f t="shared" si="9"/>
        <v>0</v>
      </c>
      <c r="T64" s="86">
        <f t="shared" si="10"/>
        <v>0</v>
      </c>
      <c r="U64" s="86">
        <f t="shared" si="11"/>
        <v>0</v>
      </c>
      <c r="V64" s="99">
        <f t="shared" si="12"/>
        <v>0</v>
      </c>
    </row>
    <row r="65" spans="1:22" ht="15" x14ac:dyDescent="0.25">
      <c r="A65" s="98">
        <f t="shared" si="6"/>
        <v>63</v>
      </c>
      <c r="B65" s="86"/>
      <c r="C65" s="86"/>
      <c r="D65" s="86"/>
      <c r="E65" s="86">
        <v>1</v>
      </c>
      <c r="F65" s="96" t="s">
        <v>85</v>
      </c>
      <c r="G65" s="86"/>
      <c r="H65" s="86">
        <v>0</v>
      </c>
      <c r="I65" s="86">
        <v>0</v>
      </c>
      <c r="J65" s="86">
        <v>0</v>
      </c>
      <c r="K65" s="86">
        <v>0</v>
      </c>
      <c r="L65" s="86">
        <v>0</v>
      </c>
      <c r="M65" s="86">
        <f>VLOOKUP(F65,'Прайс Лазер'!$L$3:$M$9,2,0)</f>
        <v>94</v>
      </c>
      <c r="N65" s="86">
        <v>25</v>
      </c>
      <c r="O65" s="95">
        <f>VLOOKUP(E65,'Прайс Лазер'!$I$4:$J$21,2,0)</f>
        <v>1.1499999999999999</v>
      </c>
      <c r="P65" s="86">
        <f>HLOOKUP('Оценка лазера'!$E65,'Прайс Лазер'!$C$26:$T$34,1+VLOOKUP(F65,'Прайс Лазер'!$A$26:$B$34,2,0),0)</f>
        <v>21.849999999999998</v>
      </c>
      <c r="Q65" s="86">
        <f t="shared" si="7"/>
        <v>0</v>
      </c>
      <c r="R65" s="86">
        <f t="shared" si="8"/>
        <v>0</v>
      </c>
      <c r="S65" s="86">
        <f t="shared" si="9"/>
        <v>0</v>
      </c>
      <c r="T65" s="86">
        <f t="shared" si="10"/>
        <v>0</v>
      </c>
      <c r="U65" s="86">
        <f t="shared" si="11"/>
        <v>0</v>
      </c>
      <c r="V65" s="99">
        <f t="shared" si="12"/>
        <v>0</v>
      </c>
    </row>
    <row r="66" spans="1:22" ht="15" x14ac:dyDescent="0.25">
      <c r="A66" s="98">
        <f t="shared" si="6"/>
        <v>64</v>
      </c>
      <c r="B66" s="86"/>
      <c r="C66" s="86"/>
      <c r="D66" s="86"/>
      <c r="E66" s="86">
        <v>1</v>
      </c>
      <c r="F66" s="96" t="s">
        <v>85</v>
      </c>
      <c r="G66" s="86"/>
      <c r="H66" s="86">
        <v>0</v>
      </c>
      <c r="I66" s="86">
        <v>0</v>
      </c>
      <c r="J66" s="86">
        <v>0</v>
      </c>
      <c r="K66" s="86">
        <v>0</v>
      </c>
      <c r="L66" s="86">
        <v>0</v>
      </c>
      <c r="M66" s="86">
        <f>VLOOKUP(F66,'Прайс Лазер'!$L$3:$M$9,2,0)</f>
        <v>94</v>
      </c>
      <c r="N66" s="86">
        <v>25</v>
      </c>
      <c r="O66" s="95">
        <f>VLOOKUP(E66,'Прайс Лазер'!$I$4:$J$21,2,0)</f>
        <v>1.1499999999999999</v>
      </c>
      <c r="P66" s="86">
        <f>HLOOKUP('Оценка лазера'!$E66,'Прайс Лазер'!$C$26:$T$34,1+VLOOKUP(F66,'Прайс Лазер'!$A$26:$B$34,2,0),0)</f>
        <v>21.849999999999998</v>
      </c>
      <c r="Q66" s="86">
        <f t="shared" si="7"/>
        <v>0</v>
      </c>
      <c r="R66" s="86">
        <f t="shared" si="8"/>
        <v>0</v>
      </c>
      <c r="S66" s="86">
        <f t="shared" si="9"/>
        <v>0</v>
      </c>
      <c r="T66" s="86">
        <f t="shared" si="10"/>
        <v>0</v>
      </c>
      <c r="U66" s="86">
        <f t="shared" si="11"/>
        <v>0</v>
      </c>
      <c r="V66" s="99">
        <f t="shared" si="12"/>
        <v>0</v>
      </c>
    </row>
    <row r="67" spans="1:22" ht="15" x14ac:dyDescent="0.25">
      <c r="A67" s="98">
        <f t="shared" si="6"/>
        <v>65</v>
      </c>
      <c r="B67" s="86"/>
      <c r="C67" s="86"/>
      <c r="D67" s="86"/>
      <c r="E67" s="86">
        <v>1</v>
      </c>
      <c r="F67" s="96" t="s">
        <v>85</v>
      </c>
      <c r="G67" s="86"/>
      <c r="H67" s="86">
        <v>0</v>
      </c>
      <c r="I67" s="86">
        <v>0</v>
      </c>
      <c r="J67" s="86">
        <v>0</v>
      </c>
      <c r="K67" s="86">
        <v>0</v>
      </c>
      <c r="L67" s="86">
        <v>0</v>
      </c>
      <c r="M67" s="86">
        <f>VLOOKUP(F67,'Прайс Лазер'!$L$3:$M$9,2,0)</f>
        <v>94</v>
      </c>
      <c r="N67" s="86">
        <v>25</v>
      </c>
      <c r="O67" s="95">
        <f>VLOOKUP(E67,'Прайс Лазер'!$I$4:$J$21,2,0)</f>
        <v>1.1499999999999999</v>
      </c>
      <c r="P67" s="86">
        <f>HLOOKUP('Оценка лазера'!$E67,'Прайс Лазер'!$C$26:$T$34,1+VLOOKUP(F67,'Прайс Лазер'!$A$26:$B$34,2,0),0)</f>
        <v>21.849999999999998</v>
      </c>
      <c r="Q67" s="86">
        <f t="shared" ref="Q67:Q130" si="13">H67*M67</f>
        <v>0</v>
      </c>
      <c r="R67" s="86">
        <f t="shared" ref="R67:R130" si="14">I67*N67</f>
        <v>0</v>
      </c>
      <c r="S67" s="86">
        <f t="shared" ref="S67:S130" si="15">(K67+L67)/1000*1.1*P67+(J67*O67)</f>
        <v>0</v>
      </c>
      <c r="T67" s="86">
        <f t="shared" si="10"/>
        <v>0</v>
      </c>
      <c r="U67" s="86">
        <f t="shared" ref="U67:U130" si="16">D67*T67</f>
        <v>0</v>
      </c>
      <c r="V67" s="99">
        <f t="shared" si="12"/>
        <v>0</v>
      </c>
    </row>
    <row r="68" spans="1:22" ht="15" x14ac:dyDescent="0.25">
      <c r="A68" s="98">
        <f t="shared" si="6"/>
        <v>66</v>
      </c>
      <c r="B68" s="86"/>
      <c r="C68" s="86"/>
      <c r="D68" s="86"/>
      <c r="E68" s="86">
        <v>1</v>
      </c>
      <c r="F68" s="96" t="s">
        <v>85</v>
      </c>
      <c r="G68" s="86"/>
      <c r="H68" s="86">
        <v>0</v>
      </c>
      <c r="I68" s="86">
        <v>0</v>
      </c>
      <c r="J68" s="86">
        <v>0</v>
      </c>
      <c r="K68" s="86">
        <v>0</v>
      </c>
      <c r="L68" s="86">
        <v>0</v>
      </c>
      <c r="M68" s="86">
        <f>VLOOKUP(F68,'Прайс Лазер'!$L$3:$M$9,2,0)</f>
        <v>94</v>
      </c>
      <c r="N68" s="86">
        <v>25</v>
      </c>
      <c r="O68" s="95">
        <f>VLOOKUP(E68,'Прайс Лазер'!$I$4:$J$21,2,0)</f>
        <v>1.1499999999999999</v>
      </c>
      <c r="P68" s="86">
        <f>HLOOKUP('Оценка лазера'!$E68,'Прайс Лазер'!$C$26:$T$34,1+VLOOKUP(F68,'Прайс Лазер'!$A$26:$B$34,2,0),0)</f>
        <v>21.849999999999998</v>
      </c>
      <c r="Q68" s="86">
        <f t="shared" si="13"/>
        <v>0</v>
      </c>
      <c r="R68" s="86">
        <f t="shared" si="14"/>
        <v>0</v>
      </c>
      <c r="S68" s="86">
        <f t="shared" si="15"/>
        <v>0</v>
      </c>
      <c r="T68" s="86">
        <f t="shared" ref="T68:T131" si="17">Q68+R68+S68</f>
        <v>0</v>
      </c>
      <c r="U68" s="86">
        <f t="shared" si="16"/>
        <v>0</v>
      </c>
      <c r="V68" s="99">
        <f t="shared" ref="V68:V131" si="18">U68/1.2</f>
        <v>0</v>
      </c>
    </row>
    <row r="69" spans="1:22" ht="15" x14ac:dyDescent="0.25">
      <c r="A69" s="98">
        <f t="shared" ref="A69:A132" si="19">A68+1</f>
        <v>67</v>
      </c>
      <c r="B69" s="86"/>
      <c r="C69" s="86"/>
      <c r="D69" s="86"/>
      <c r="E69" s="86">
        <v>1</v>
      </c>
      <c r="F69" s="96" t="s">
        <v>85</v>
      </c>
      <c r="G69" s="86"/>
      <c r="H69" s="86">
        <v>0</v>
      </c>
      <c r="I69" s="86">
        <v>0</v>
      </c>
      <c r="J69" s="86">
        <v>0</v>
      </c>
      <c r="K69" s="86">
        <v>0</v>
      </c>
      <c r="L69" s="86">
        <v>0</v>
      </c>
      <c r="M69" s="86">
        <f>VLOOKUP(F69,'Прайс Лазер'!$L$3:$M$9,2,0)</f>
        <v>94</v>
      </c>
      <c r="N69" s="86">
        <v>25</v>
      </c>
      <c r="O69" s="95">
        <f>VLOOKUP(E69,'Прайс Лазер'!$I$4:$J$21,2,0)</f>
        <v>1.1499999999999999</v>
      </c>
      <c r="P69" s="86">
        <f>HLOOKUP('Оценка лазера'!$E69,'Прайс Лазер'!$C$26:$T$34,1+VLOOKUP(F69,'Прайс Лазер'!$A$26:$B$34,2,0),0)</f>
        <v>21.849999999999998</v>
      </c>
      <c r="Q69" s="86">
        <f t="shared" si="13"/>
        <v>0</v>
      </c>
      <c r="R69" s="86">
        <f t="shared" si="14"/>
        <v>0</v>
      </c>
      <c r="S69" s="86">
        <f t="shared" si="15"/>
        <v>0</v>
      </c>
      <c r="T69" s="86">
        <f t="shared" si="17"/>
        <v>0</v>
      </c>
      <c r="U69" s="86">
        <f t="shared" si="16"/>
        <v>0</v>
      </c>
      <c r="V69" s="99">
        <f t="shared" si="18"/>
        <v>0</v>
      </c>
    </row>
    <row r="70" spans="1:22" ht="15" x14ac:dyDescent="0.25">
      <c r="A70" s="98">
        <f t="shared" si="19"/>
        <v>68</v>
      </c>
      <c r="B70" s="86"/>
      <c r="C70" s="86"/>
      <c r="D70" s="86"/>
      <c r="E70" s="86">
        <v>1</v>
      </c>
      <c r="F70" s="96" t="s">
        <v>85</v>
      </c>
      <c r="G70" s="86"/>
      <c r="H70" s="86">
        <v>0</v>
      </c>
      <c r="I70" s="86">
        <v>0</v>
      </c>
      <c r="J70" s="86">
        <v>0</v>
      </c>
      <c r="K70" s="86">
        <v>0</v>
      </c>
      <c r="L70" s="86">
        <v>0</v>
      </c>
      <c r="M70" s="86">
        <f>VLOOKUP(F70,'Прайс Лазер'!$L$3:$M$9,2,0)</f>
        <v>94</v>
      </c>
      <c r="N70" s="86">
        <v>25</v>
      </c>
      <c r="O70" s="95">
        <f>VLOOKUP(E70,'Прайс Лазер'!$I$4:$J$21,2,0)</f>
        <v>1.1499999999999999</v>
      </c>
      <c r="P70" s="86">
        <f>HLOOKUP('Оценка лазера'!$E70,'Прайс Лазер'!$C$26:$T$34,1+VLOOKUP(F70,'Прайс Лазер'!$A$26:$B$34,2,0),0)</f>
        <v>21.849999999999998</v>
      </c>
      <c r="Q70" s="86">
        <f t="shared" si="13"/>
        <v>0</v>
      </c>
      <c r="R70" s="86">
        <f t="shared" si="14"/>
        <v>0</v>
      </c>
      <c r="S70" s="86">
        <f t="shared" si="15"/>
        <v>0</v>
      </c>
      <c r="T70" s="86">
        <f t="shared" si="17"/>
        <v>0</v>
      </c>
      <c r="U70" s="86">
        <f t="shared" si="16"/>
        <v>0</v>
      </c>
      <c r="V70" s="99">
        <f t="shared" si="18"/>
        <v>0</v>
      </c>
    </row>
    <row r="71" spans="1:22" ht="15" x14ac:dyDescent="0.25">
      <c r="A71" s="98">
        <f t="shared" si="19"/>
        <v>69</v>
      </c>
      <c r="B71" s="86"/>
      <c r="C71" s="86"/>
      <c r="D71" s="86"/>
      <c r="E71" s="86">
        <v>1</v>
      </c>
      <c r="F71" s="96" t="s">
        <v>85</v>
      </c>
      <c r="G71" s="86"/>
      <c r="H71" s="86">
        <v>0</v>
      </c>
      <c r="I71" s="86">
        <v>0</v>
      </c>
      <c r="J71" s="86">
        <v>0</v>
      </c>
      <c r="K71" s="86">
        <v>0</v>
      </c>
      <c r="L71" s="86">
        <v>0</v>
      </c>
      <c r="M71" s="86">
        <f>VLOOKUP(F71,'Прайс Лазер'!$L$3:$M$9,2,0)</f>
        <v>94</v>
      </c>
      <c r="N71" s="86">
        <v>25</v>
      </c>
      <c r="O71" s="95">
        <f>VLOOKUP(E71,'Прайс Лазер'!$I$4:$J$21,2,0)</f>
        <v>1.1499999999999999</v>
      </c>
      <c r="P71" s="86">
        <f>HLOOKUP('Оценка лазера'!$E71,'Прайс Лазер'!$C$26:$T$34,1+VLOOKUP(F71,'Прайс Лазер'!$A$26:$B$34,2,0),0)</f>
        <v>21.849999999999998</v>
      </c>
      <c r="Q71" s="86">
        <f t="shared" si="13"/>
        <v>0</v>
      </c>
      <c r="R71" s="86">
        <f t="shared" si="14"/>
        <v>0</v>
      </c>
      <c r="S71" s="86">
        <f t="shared" si="15"/>
        <v>0</v>
      </c>
      <c r="T71" s="86">
        <f t="shared" si="17"/>
        <v>0</v>
      </c>
      <c r="U71" s="86">
        <f t="shared" si="16"/>
        <v>0</v>
      </c>
      <c r="V71" s="99">
        <f t="shared" si="18"/>
        <v>0</v>
      </c>
    </row>
    <row r="72" spans="1:22" ht="15" x14ac:dyDescent="0.25">
      <c r="A72" s="98">
        <f t="shared" si="19"/>
        <v>70</v>
      </c>
      <c r="B72" s="86"/>
      <c r="C72" s="86"/>
      <c r="D72" s="86"/>
      <c r="E72" s="86">
        <v>1</v>
      </c>
      <c r="F72" s="96" t="s">
        <v>85</v>
      </c>
      <c r="G72" s="86"/>
      <c r="H72" s="86">
        <v>0</v>
      </c>
      <c r="I72" s="86">
        <v>0</v>
      </c>
      <c r="J72" s="86">
        <v>0</v>
      </c>
      <c r="K72" s="86">
        <v>0</v>
      </c>
      <c r="L72" s="86">
        <v>0</v>
      </c>
      <c r="M72" s="86">
        <f>VLOOKUP(F72,'Прайс Лазер'!$L$3:$M$9,2,0)</f>
        <v>94</v>
      </c>
      <c r="N72" s="86">
        <v>25</v>
      </c>
      <c r="O72" s="95">
        <f>VLOOKUP(E72,'Прайс Лазер'!$I$4:$J$21,2,0)</f>
        <v>1.1499999999999999</v>
      </c>
      <c r="P72" s="86">
        <f>HLOOKUP('Оценка лазера'!$E72,'Прайс Лазер'!$C$26:$T$34,1+VLOOKUP(F72,'Прайс Лазер'!$A$26:$B$34,2,0),0)</f>
        <v>21.849999999999998</v>
      </c>
      <c r="Q72" s="86">
        <f t="shared" si="13"/>
        <v>0</v>
      </c>
      <c r="R72" s="86">
        <f t="shared" si="14"/>
        <v>0</v>
      </c>
      <c r="S72" s="86">
        <f t="shared" si="15"/>
        <v>0</v>
      </c>
      <c r="T72" s="86">
        <f t="shared" si="17"/>
        <v>0</v>
      </c>
      <c r="U72" s="86">
        <f t="shared" si="16"/>
        <v>0</v>
      </c>
      <c r="V72" s="99">
        <f t="shared" si="18"/>
        <v>0</v>
      </c>
    </row>
    <row r="73" spans="1:22" ht="15" x14ac:dyDescent="0.25">
      <c r="A73" s="98">
        <f t="shared" si="19"/>
        <v>71</v>
      </c>
      <c r="B73" s="86"/>
      <c r="C73" s="86"/>
      <c r="D73" s="86"/>
      <c r="E73" s="86">
        <v>1</v>
      </c>
      <c r="F73" s="96" t="s">
        <v>85</v>
      </c>
      <c r="G73" s="86"/>
      <c r="H73" s="86">
        <v>0</v>
      </c>
      <c r="I73" s="86">
        <v>0</v>
      </c>
      <c r="J73" s="86">
        <v>0</v>
      </c>
      <c r="K73" s="86">
        <v>0</v>
      </c>
      <c r="L73" s="86">
        <v>0</v>
      </c>
      <c r="M73" s="86">
        <f>VLOOKUP(F73,'Прайс Лазер'!$L$3:$M$9,2,0)</f>
        <v>94</v>
      </c>
      <c r="N73" s="86">
        <v>25</v>
      </c>
      <c r="O73" s="95">
        <f>VLOOKUP(E73,'Прайс Лазер'!$I$4:$J$21,2,0)</f>
        <v>1.1499999999999999</v>
      </c>
      <c r="P73" s="86">
        <f>HLOOKUP('Оценка лазера'!$E73,'Прайс Лазер'!$C$26:$T$34,1+VLOOKUP(F73,'Прайс Лазер'!$A$26:$B$34,2,0),0)</f>
        <v>21.849999999999998</v>
      </c>
      <c r="Q73" s="86">
        <f t="shared" si="13"/>
        <v>0</v>
      </c>
      <c r="R73" s="86">
        <f t="shared" si="14"/>
        <v>0</v>
      </c>
      <c r="S73" s="86">
        <f t="shared" si="15"/>
        <v>0</v>
      </c>
      <c r="T73" s="86">
        <f t="shared" si="17"/>
        <v>0</v>
      </c>
      <c r="U73" s="86">
        <f t="shared" si="16"/>
        <v>0</v>
      </c>
      <c r="V73" s="99">
        <f t="shared" si="18"/>
        <v>0</v>
      </c>
    </row>
    <row r="74" spans="1:22" ht="15" x14ac:dyDescent="0.25">
      <c r="A74" s="98">
        <f t="shared" si="19"/>
        <v>72</v>
      </c>
      <c r="B74" s="86"/>
      <c r="C74" s="86"/>
      <c r="D74" s="86"/>
      <c r="E74" s="86">
        <v>1</v>
      </c>
      <c r="F74" s="96" t="s">
        <v>85</v>
      </c>
      <c r="G74" s="86"/>
      <c r="H74" s="86">
        <v>0</v>
      </c>
      <c r="I74" s="86">
        <v>0</v>
      </c>
      <c r="J74" s="86">
        <v>0</v>
      </c>
      <c r="K74" s="86">
        <v>0</v>
      </c>
      <c r="L74" s="86">
        <v>0</v>
      </c>
      <c r="M74" s="86">
        <f>VLOOKUP(F74,'Прайс Лазер'!$L$3:$M$9,2,0)</f>
        <v>94</v>
      </c>
      <c r="N74" s="86">
        <v>25</v>
      </c>
      <c r="O74" s="95">
        <f>VLOOKUP(E74,'Прайс Лазер'!$I$4:$J$21,2,0)</f>
        <v>1.1499999999999999</v>
      </c>
      <c r="P74" s="86">
        <f>HLOOKUP('Оценка лазера'!$E74,'Прайс Лазер'!$C$26:$T$34,1+VLOOKUP(F74,'Прайс Лазер'!$A$26:$B$34,2,0),0)</f>
        <v>21.849999999999998</v>
      </c>
      <c r="Q74" s="86">
        <f t="shared" si="13"/>
        <v>0</v>
      </c>
      <c r="R74" s="86">
        <f t="shared" si="14"/>
        <v>0</v>
      </c>
      <c r="S74" s="86">
        <f t="shared" si="15"/>
        <v>0</v>
      </c>
      <c r="T74" s="86">
        <f t="shared" si="17"/>
        <v>0</v>
      </c>
      <c r="U74" s="86">
        <f t="shared" si="16"/>
        <v>0</v>
      </c>
      <c r="V74" s="99">
        <f t="shared" si="18"/>
        <v>0</v>
      </c>
    </row>
    <row r="75" spans="1:22" ht="15" x14ac:dyDescent="0.25">
      <c r="A75" s="98">
        <f t="shared" si="19"/>
        <v>73</v>
      </c>
      <c r="B75" s="86"/>
      <c r="C75" s="86"/>
      <c r="D75" s="86"/>
      <c r="E75" s="86">
        <v>1</v>
      </c>
      <c r="F75" s="96" t="s">
        <v>85</v>
      </c>
      <c r="G75" s="86"/>
      <c r="H75" s="86">
        <v>0</v>
      </c>
      <c r="I75" s="86">
        <v>0</v>
      </c>
      <c r="J75" s="86">
        <v>0</v>
      </c>
      <c r="K75" s="86">
        <v>0</v>
      </c>
      <c r="L75" s="86">
        <v>0</v>
      </c>
      <c r="M75" s="86">
        <f>VLOOKUP(F75,'Прайс Лазер'!$L$3:$M$9,2,0)</f>
        <v>94</v>
      </c>
      <c r="N75" s="86">
        <v>25</v>
      </c>
      <c r="O75" s="95">
        <f>VLOOKUP(E75,'Прайс Лазер'!$I$4:$J$21,2,0)</f>
        <v>1.1499999999999999</v>
      </c>
      <c r="P75" s="86">
        <f>HLOOKUP('Оценка лазера'!$E75,'Прайс Лазер'!$C$26:$T$34,1+VLOOKUP(F75,'Прайс Лазер'!$A$26:$B$34,2,0),0)</f>
        <v>21.849999999999998</v>
      </c>
      <c r="Q75" s="86">
        <f t="shared" si="13"/>
        <v>0</v>
      </c>
      <c r="R75" s="86">
        <f t="shared" si="14"/>
        <v>0</v>
      </c>
      <c r="S75" s="86">
        <f t="shared" si="15"/>
        <v>0</v>
      </c>
      <c r="T75" s="86">
        <f t="shared" si="17"/>
        <v>0</v>
      </c>
      <c r="U75" s="86">
        <f t="shared" si="16"/>
        <v>0</v>
      </c>
      <c r="V75" s="99">
        <f t="shared" si="18"/>
        <v>0</v>
      </c>
    </row>
    <row r="76" spans="1:22" ht="15" x14ac:dyDescent="0.25">
      <c r="A76" s="98">
        <f t="shared" si="19"/>
        <v>74</v>
      </c>
      <c r="B76" s="86"/>
      <c r="C76" s="86"/>
      <c r="D76" s="86"/>
      <c r="E76" s="86">
        <v>1</v>
      </c>
      <c r="F76" s="96" t="s">
        <v>85</v>
      </c>
      <c r="G76" s="86"/>
      <c r="H76" s="86">
        <v>0</v>
      </c>
      <c r="I76" s="86">
        <v>0</v>
      </c>
      <c r="J76" s="86">
        <v>0</v>
      </c>
      <c r="K76" s="86">
        <v>0</v>
      </c>
      <c r="L76" s="86">
        <v>0</v>
      </c>
      <c r="M76" s="86">
        <f>VLOOKUP(F76,'Прайс Лазер'!$L$3:$M$9,2,0)</f>
        <v>94</v>
      </c>
      <c r="N76" s="86">
        <v>25</v>
      </c>
      <c r="O76" s="95">
        <f>VLOOKUP(E76,'Прайс Лазер'!$I$4:$J$21,2,0)</f>
        <v>1.1499999999999999</v>
      </c>
      <c r="P76" s="86">
        <f>HLOOKUP('Оценка лазера'!$E76,'Прайс Лазер'!$C$26:$T$34,1+VLOOKUP(F76,'Прайс Лазер'!$A$26:$B$34,2,0),0)</f>
        <v>21.849999999999998</v>
      </c>
      <c r="Q76" s="86">
        <f t="shared" si="13"/>
        <v>0</v>
      </c>
      <c r="R76" s="86">
        <f t="shared" si="14"/>
        <v>0</v>
      </c>
      <c r="S76" s="86">
        <f t="shared" si="15"/>
        <v>0</v>
      </c>
      <c r="T76" s="86">
        <f t="shared" si="17"/>
        <v>0</v>
      </c>
      <c r="U76" s="86">
        <f t="shared" si="16"/>
        <v>0</v>
      </c>
      <c r="V76" s="99">
        <f t="shared" si="18"/>
        <v>0</v>
      </c>
    </row>
    <row r="77" spans="1:22" ht="15" x14ac:dyDescent="0.25">
      <c r="A77" s="98">
        <f t="shared" si="19"/>
        <v>75</v>
      </c>
      <c r="B77" s="86"/>
      <c r="C77" s="86"/>
      <c r="D77" s="86"/>
      <c r="E77" s="86">
        <v>1</v>
      </c>
      <c r="F77" s="96" t="s">
        <v>85</v>
      </c>
      <c r="G77" s="86"/>
      <c r="H77" s="86">
        <v>0</v>
      </c>
      <c r="I77" s="86">
        <v>0</v>
      </c>
      <c r="J77" s="86">
        <v>0</v>
      </c>
      <c r="K77" s="86">
        <v>0</v>
      </c>
      <c r="L77" s="86">
        <v>0</v>
      </c>
      <c r="M77" s="86">
        <f>VLOOKUP(F77,'Прайс Лазер'!$L$3:$M$9,2,0)</f>
        <v>94</v>
      </c>
      <c r="N77" s="86">
        <v>25</v>
      </c>
      <c r="O77" s="95">
        <f>VLOOKUP(E77,'Прайс Лазер'!$I$4:$J$21,2,0)</f>
        <v>1.1499999999999999</v>
      </c>
      <c r="P77" s="86">
        <f>HLOOKUP('Оценка лазера'!$E77,'Прайс Лазер'!$C$26:$T$34,1+VLOOKUP(F77,'Прайс Лазер'!$A$26:$B$34,2,0),0)</f>
        <v>21.849999999999998</v>
      </c>
      <c r="Q77" s="86">
        <f t="shared" si="13"/>
        <v>0</v>
      </c>
      <c r="R77" s="86">
        <f t="shared" si="14"/>
        <v>0</v>
      </c>
      <c r="S77" s="86">
        <f t="shared" si="15"/>
        <v>0</v>
      </c>
      <c r="T77" s="86">
        <f t="shared" si="17"/>
        <v>0</v>
      </c>
      <c r="U77" s="86">
        <f t="shared" si="16"/>
        <v>0</v>
      </c>
      <c r="V77" s="99">
        <f t="shared" si="18"/>
        <v>0</v>
      </c>
    </row>
    <row r="78" spans="1:22" ht="15" x14ac:dyDescent="0.25">
      <c r="A78" s="98">
        <f t="shared" si="19"/>
        <v>76</v>
      </c>
      <c r="B78" s="86"/>
      <c r="C78" s="86"/>
      <c r="D78" s="86"/>
      <c r="E78" s="86">
        <v>1</v>
      </c>
      <c r="F78" s="96" t="s">
        <v>85</v>
      </c>
      <c r="G78" s="86"/>
      <c r="H78" s="86">
        <v>0</v>
      </c>
      <c r="I78" s="86">
        <v>0</v>
      </c>
      <c r="J78" s="86">
        <v>0</v>
      </c>
      <c r="K78" s="86">
        <v>0</v>
      </c>
      <c r="L78" s="86">
        <v>0</v>
      </c>
      <c r="M78" s="86">
        <f>VLOOKUP(F78,'Прайс Лазер'!$L$3:$M$9,2,0)</f>
        <v>94</v>
      </c>
      <c r="N78" s="86">
        <v>25</v>
      </c>
      <c r="O78" s="95">
        <f>VLOOKUP(E78,'Прайс Лазер'!$I$4:$J$21,2,0)</f>
        <v>1.1499999999999999</v>
      </c>
      <c r="P78" s="86">
        <f>HLOOKUP('Оценка лазера'!$E78,'Прайс Лазер'!$C$26:$T$34,1+VLOOKUP(F78,'Прайс Лазер'!$A$26:$B$34,2,0),0)</f>
        <v>21.849999999999998</v>
      </c>
      <c r="Q78" s="86">
        <f t="shared" si="13"/>
        <v>0</v>
      </c>
      <c r="R78" s="86">
        <f t="shared" si="14"/>
        <v>0</v>
      </c>
      <c r="S78" s="86">
        <f t="shared" si="15"/>
        <v>0</v>
      </c>
      <c r="T78" s="86">
        <f t="shared" si="17"/>
        <v>0</v>
      </c>
      <c r="U78" s="86">
        <f t="shared" si="16"/>
        <v>0</v>
      </c>
      <c r="V78" s="99">
        <f t="shared" si="18"/>
        <v>0</v>
      </c>
    </row>
    <row r="79" spans="1:22" ht="15" x14ac:dyDescent="0.25">
      <c r="A79" s="98">
        <f t="shared" si="19"/>
        <v>77</v>
      </c>
      <c r="B79" s="86"/>
      <c r="C79" s="86"/>
      <c r="D79" s="86"/>
      <c r="E79" s="86">
        <v>1</v>
      </c>
      <c r="F79" s="96" t="s">
        <v>85</v>
      </c>
      <c r="G79" s="86"/>
      <c r="H79" s="86">
        <v>0</v>
      </c>
      <c r="I79" s="86">
        <v>0</v>
      </c>
      <c r="J79" s="86">
        <v>0</v>
      </c>
      <c r="K79" s="86">
        <v>0</v>
      </c>
      <c r="L79" s="86">
        <v>0</v>
      </c>
      <c r="M79" s="86">
        <f>VLOOKUP(F79,'Прайс Лазер'!$L$3:$M$9,2,0)</f>
        <v>94</v>
      </c>
      <c r="N79" s="86">
        <v>25</v>
      </c>
      <c r="O79" s="95">
        <f>VLOOKUP(E79,'Прайс Лазер'!$I$4:$J$21,2,0)</f>
        <v>1.1499999999999999</v>
      </c>
      <c r="P79" s="86">
        <f>HLOOKUP('Оценка лазера'!$E79,'Прайс Лазер'!$C$26:$T$34,1+VLOOKUP(F79,'Прайс Лазер'!$A$26:$B$34,2,0),0)</f>
        <v>21.849999999999998</v>
      </c>
      <c r="Q79" s="86">
        <f t="shared" si="13"/>
        <v>0</v>
      </c>
      <c r="R79" s="86">
        <f t="shared" si="14"/>
        <v>0</v>
      </c>
      <c r="S79" s="86">
        <f t="shared" si="15"/>
        <v>0</v>
      </c>
      <c r="T79" s="86">
        <f t="shared" si="17"/>
        <v>0</v>
      </c>
      <c r="U79" s="86">
        <f t="shared" si="16"/>
        <v>0</v>
      </c>
      <c r="V79" s="99">
        <f t="shared" si="18"/>
        <v>0</v>
      </c>
    </row>
    <row r="80" spans="1:22" ht="15" x14ac:dyDescent="0.25">
      <c r="A80" s="98">
        <f t="shared" si="19"/>
        <v>78</v>
      </c>
      <c r="B80" s="86"/>
      <c r="C80" s="86"/>
      <c r="D80" s="86"/>
      <c r="E80" s="86">
        <v>1</v>
      </c>
      <c r="F80" s="96" t="s">
        <v>85</v>
      </c>
      <c r="G80" s="86"/>
      <c r="H80" s="86">
        <v>0</v>
      </c>
      <c r="I80" s="86">
        <v>0</v>
      </c>
      <c r="J80" s="86">
        <v>0</v>
      </c>
      <c r="K80" s="86">
        <v>0</v>
      </c>
      <c r="L80" s="86">
        <v>0</v>
      </c>
      <c r="M80" s="86">
        <f>VLOOKUP(F80,'Прайс Лазер'!$L$3:$M$9,2,0)</f>
        <v>94</v>
      </c>
      <c r="N80" s="86">
        <v>25</v>
      </c>
      <c r="O80" s="95">
        <f>VLOOKUP(E80,'Прайс Лазер'!$I$4:$J$21,2,0)</f>
        <v>1.1499999999999999</v>
      </c>
      <c r="P80" s="86">
        <f>HLOOKUP('Оценка лазера'!$E80,'Прайс Лазер'!$C$26:$T$34,1+VLOOKUP(F80,'Прайс Лазер'!$A$26:$B$34,2,0),0)</f>
        <v>21.849999999999998</v>
      </c>
      <c r="Q80" s="86">
        <f t="shared" si="13"/>
        <v>0</v>
      </c>
      <c r="R80" s="86">
        <f t="shared" si="14"/>
        <v>0</v>
      </c>
      <c r="S80" s="86">
        <f t="shared" si="15"/>
        <v>0</v>
      </c>
      <c r="T80" s="86">
        <f t="shared" si="17"/>
        <v>0</v>
      </c>
      <c r="U80" s="86">
        <f t="shared" si="16"/>
        <v>0</v>
      </c>
      <c r="V80" s="99">
        <f t="shared" si="18"/>
        <v>0</v>
      </c>
    </row>
    <row r="81" spans="1:22" ht="15" x14ac:dyDescent="0.25">
      <c r="A81" s="98">
        <f t="shared" si="19"/>
        <v>79</v>
      </c>
      <c r="B81" s="86"/>
      <c r="C81" s="86"/>
      <c r="D81" s="86"/>
      <c r="E81" s="86">
        <v>1</v>
      </c>
      <c r="F81" s="96" t="s">
        <v>85</v>
      </c>
      <c r="G81" s="86"/>
      <c r="H81" s="86">
        <v>0</v>
      </c>
      <c r="I81" s="86">
        <v>0</v>
      </c>
      <c r="J81" s="86">
        <v>0</v>
      </c>
      <c r="K81" s="86">
        <v>0</v>
      </c>
      <c r="L81" s="86">
        <v>0</v>
      </c>
      <c r="M81" s="86">
        <f>VLOOKUP(F81,'Прайс Лазер'!$L$3:$M$9,2,0)</f>
        <v>94</v>
      </c>
      <c r="N81" s="86">
        <v>25</v>
      </c>
      <c r="O81" s="95">
        <f>VLOOKUP(E81,'Прайс Лазер'!$I$4:$J$21,2,0)</f>
        <v>1.1499999999999999</v>
      </c>
      <c r="P81" s="86">
        <f>HLOOKUP('Оценка лазера'!$E81,'Прайс Лазер'!$C$26:$T$34,1+VLOOKUP(F81,'Прайс Лазер'!$A$26:$B$34,2,0),0)</f>
        <v>21.849999999999998</v>
      </c>
      <c r="Q81" s="86">
        <f t="shared" si="13"/>
        <v>0</v>
      </c>
      <c r="R81" s="86">
        <f t="shared" si="14"/>
        <v>0</v>
      </c>
      <c r="S81" s="86">
        <f t="shared" si="15"/>
        <v>0</v>
      </c>
      <c r="T81" s="86">
        <f t="shared" si="17"/>
        <v>0</v>
      </c>
      <c r="U81" s="86">
        <f t="shared" si="16"/>
        <v>0</v>
      </c>
      <c r="V81" s="99">
        <f t="shared" si="18"/>
        <v>0</v>
      </c>
    </row>
    <row r="82" spans="1:22" ht="15" x14ac:dyDescent="0.25">
      <c r="A82" s="98">
        <f t="shared" si="19"/>
        <v>80</v>
      </c>
      <c r="B82" s="86"/>
      <c r="C82" s="86"/>
      <c r="D82" s="86"/>
      <c r="E82" s="86">
        <v>1</v>
      </c>
      <c r="F82" s="96" t="s">
        <v>85</v>
      </c>
      <c r="G82" s="86"/>
      <c r="H82" s="86">
        <v>0</v>
      </c>
      <c r="I82" s="86">
        <v>0</v>
      </c>
      <c r="J82" s="86">
        <v>0</v>
      </c>
      <c r="K82" s="86">
        <v>0</v>
      </c>
      <c r="L82" s="86">
        <v>0</v>
      </c>
      <c r="M82" s="86">
        <f>VLOOKUP(F82,'Прайс Лазер'!$L$3:$M$9,2,0)</f>
        <v>94</v>
      </c>
      <c r="N82" s="86">
        <v>25</v>
      </c>
      <c r="O82" s="95">
        <f>VLOOKUP(E82,'Прайс Лазер'!$I$4:$J$21,2,0)</f>
        <v>1.1499999999999999</v>
      </c>
      <c r="P82" s="86">
        <f>HLOOKUP('Оценка лазера'!$E82,'Прайс Лазер'!$C$26:$T$34,1+VLOOKUP(F82,'Прайс Лазер'!$A$26:$B$34,2,0),0)</f>
        <v>21.849999999999998</v>
      </c>
      <c r="Q82" s="86">
        <f t="shared" si="13"/>
        <v>0</v>
      </c>
      <c r="R82" s="86">
        <f t="shared" si="14"/>
        <v>0</v>
      </c>
      <c r="S82" s="86">
        <f t="shared" si="15"/>
        <v>0</v>
      </c>
      <c r="T82" s="86">
        <f t="shared" si="17"/>
        <v>0</v>
      </c>
      <c r="U82" s="86">
        <f t="shared" si="16"/>
        <v>0</v>
      </c>
      <c r="V82" s="99">
        <f t="shared" si="18"/>
        <v>0</v>
      </c>
    </row>
    <row r="83" spans="1:22" ht="15" x14ac:dyDescent="0.25">
      <c r="A83" s="98">
        <f t="shared" si="19"/>
        <v>81</v>
      </c>
      <c r="B83" s="86"/>
      <c r="C83" s="86"/>
      <c r="D83" s="86"/>
      <c r="E83" s="86">
        <v>1</v>
      </c>
      <c r="F83" s="96" t="s">
        <v>85</v>
      </c>
      <c r="G83" s="86"/>
      <c r="H83" s="86">
        <v>0</v>
      </c>
      <c r="I83" s="86">
        <v>0</v>
      </c>
      <c r="J83" s="86">
        <v>0</v>
      </c>
      <c r="K83" s="86">
        <v>0</v>
      </c>
      <c r="L83" s="86">
        <v>0</v>
      </c>
      <c r="M83" s="86">
        <f>VLOOKUP(F83,'Прайс Лазер'!$L$3:$M$9,2,0)</f>
        <v>94</v>
      </c>
      <c r="N83" s="86">
        <v>25</v>
      </c>
      <c r="O83" s="95">
        <f>VLOOKUP(E83,'Прайс Лазер'!$I$4:$J$21,2,0)</f>
        <v>1.1499999999999999</v>
      </c>
      <c r="P83" s="86">
        <f>HLOOKUP('Оценка лазера'!$E83,'Прайс Лазер'!$C$26:$T$34,1+VLOOKUP(F83,'Прайс Лазер'!$A$26:$B$34,2,0),0)</f>
        <v>21.849999999999998</v>
      </c>
      <c r="Q83" s="86">
        <f t="shared" si="13"/>
        <v>0</v>
      </c>
      <c r="R83" s="86">
        <f t="shared" si="14"/>
        <v>0</v>
      </c>
      <c r="S83" s="86">
        <f t="shared" si="15"/>
        <v>0</v>
      </c>
      <c r="T83" s="86">
        <f t="shared" si="17"/>
        <v>0</v>
      </c>
      <c r="U83" s="86">
        <f t="shared" si="16"/>
        <v>0</v>
      </c>
      <c r="V83" s="99">
        <f t="shared" si="18"/>
        <v>0</v>
      </c>
    </row>
    <row r="84" spans="1:22" ht="15" x14ac:dyDescent="0.25">
      <c r="A84" s="98">
        <f t="shared" si="19"/>
        <v>82</v>
      </c>
      <c r="B84" s="86"/>
      <c r="C84" s="86"/>
      <c r="D84" s="86"/>
      <c r="E84" s="86">
        <v>1</v>
      </c>
      <c r="F84" s="96" t="s">
        <v>85</v>
      </c>
      <c r="G84" s="86"/>
      <c r="H84" s="86">
        <v>0</v>
      </c>
      <c r="I84" s="86">
        <v>0</v>
      </c>
      <c r="J84" s="86">
        <v>0</v>
      </c>
      <c r="K84" s="86">
        <v>0</v>
      </c>
      <c r="L84" s="86">
        <v>0</v>
      </c>
      <c r="M84" s="86">
        <f>VLOOKUP(F84,'Прайс Лазер'!$L$3:$M$9,2,0)</f>
        <v>94</v>
      </c>
      <c r="N84" s="86">
        <v>25</v>
      </c>
      <c r="O84" s="95">
        <f>VLOOKUP(E84,'Прайс Лазер'!$I$4:$J$21,2,0)</f>
        <v>1.1499999999999999</v>
      </c>
      <c r="P84" s="86">
        <f>HLOOKUP('Оценка лазера'!$E84,'Прайс Лазер'!$C$26:$T$34,1+VLOOKUP(F84,'Прайс Лазер'!$A$26:$B$34,2,0),0)</f>
        <v>21.849999999999998</v>
      </c>
      <c r="Q84" s="86">
        <f t="shared" si="13"/>
        <v>0</v>
      </c>
      <c r="R84" s="86">
        <f t="shared" si="14"/>
        <v>0</v>
      </c>
      <c r="S84" s="86">
        <f t="shared" si="15"/>
        <v>0</v>
      </c>
      <c r="T84" s="86">
        <f t="shared" si="17"/>
        <v>0</v>
      </c>
      <c r="U84" s="86">
        <f t="shared" si="16"/>
        <v>0</v>
      </c>
      <c r="V84" s="99">
        <f t="shared" si="18"/>
        <v>0</v>
      </c>
    </row>
    <row r="85" spans="1:22" ht="15" x14ac:dyDescent="0.25">
      <c r="A85" s="98">
        <f t="shared" si="19"/>
        <v>83</v>
      </c>
      <c r="B85" s="86"/>
      <c r="C85" s="86"/>
      <c r="D85" s="86"/>
      <c r="E85" s="86">
        <v>1</v>
      </c>
      <c r="F85" s="96" t="s">
        <v>85</v>
      </c>
      <c r="G85" s="86"/>
      <c r="H85" s="86">
        <v>0</v>
      </c>
      <c r="I85" s="86">
        <v>0</v>
      </c>
      <c r="J85" s="86">
        <v>0</v>
      </c>
      <c r="K85" s="86">
        <v>0</v>
      </c>
      <c r="L85" s="86">
        <v>0</v>
      </c>
      <c r="M85" s="86">
        <f>VLOOKUP(F85,'Прайс Лазер'!$L$3:$M$9,2,0)</f>
        <v>94</v>
      </c>
      <c r="N85" s="86">
        <v>25</v>
      </c>
      <c r="O85" s="95">
        <f>VLOOKUP(E85,'Прайс Лазер'!$I$4:$J$21,2,0)</f>
        <v>1.1499999999999999</v>
      </c>
      <c r="P85" s="86">
        <f>HLOOKUP('Оценка лазера'!$E85,'Прайс Лазер'!$C$26:$T$34,1+VLOOKUP(F85,'Прайс Лазер'!$A$26:$B$34,2,0),0)</f>
        <v>21.849999999999998</v>
      </c>
      <c r="Q85" s="86">
        <f t="shared" si="13"/>
        <v>0</v>
      </c>
      <c r="R85" s="86">
        <f t="shared" si="14"/>
        <v>0</v>
      </c>
      <c r="S85" s="86">
        <f t="shared" si="15"/>
        <v>0</v>
      </c>
      <c r="T85" s="86">
        <f t="shared" si="17"/>
        <v>0</v>
      </c>
      <c r="U85" s="86">
        <f t="shared" si="16"/>
        <v>0</v>
      </c>
      <c r="V85" s="99">
        <f t="shared" si="18"/>
        <v>0</v>
      </c>
    </row>
    <row r="86" spans="1:22" ht="15" x14ac:dyDescent="0.25">
      <c r="A86" s="98">
        <f t="shared" si="19"/>
        <v>84</v>
      </c>
      <c r="B86" s="86"/>
      <c r="C86" s="86"/>
      <c r="D86" s="86"/>
      <c r="E86" s="86">
        <v>1</v>
      </c>
      <c r="F86" s="96" t="s">
        <v>85</v>
      </c>
      <c r="G86" s="86"/>
      <c r="H86" s="86">
        <v>0</v>
      </c>
      <c r="I86" s="86">
        <v>0</v>
      </c>
      <c r="J86" s="86">
        <v>0</v>
      </c>
      <c r="K86" s="86">
        <v>0</v>
      </c>
      <c r="L86" s="86">
        <v>0</v>
      </c>
      <c r="M86" s="86">
        <f>VLOOKUP(F86,'Прайс Лазер'!$L$3:$M$9,2,0)</f>
        <v>94</v>
      </c>
      <c r="N86" s="86">
        <v>25</v>
      </c>
      <c r="O86" s="95">
        <f>VLOOKUP(E86,'Прайс Лазер'!$I$4:$J$21,2,0)</f>
        <v>1.1499999999999999</v>
      </c>
      <c r="P86" s="86">
        <f>HLOOKUP('Оценка лазера'!$E86,'Прайс Лазер'!$C$26:$T$34,1+VLOOKUP(F86,'Прайс Лазер'!$A$26:$B$34,2,0),0)</f>
        <v>21.849999999999998</v>
      </c>
      <c r="Q86" s="86">
        <f t="shared" si="13"/>
        <v>0</v>
      </c>
      <c r="R86" s="86">
        <f t="shared" si="14"/>
        <v>0</v>
      </c>
      <c r="S86" s="86">
        <f t="shared" si="15"/>
        <v>0</v>
      </c>
      <c r="T86" s="86">
        <f t="shared" si="17"/>
        <v>0</v>
      </c>
      <c r="U86" s="86">
        <f t="shared" si="16"/>
        <v>0</v>
      </c>
      <c r="V86" s="99">
        <f t="shared" si="18"/>
        <v>0</v>
      </c>
    </row>
    <row r="87" spans="1:22" ht="15" x14ac:dyDescent="0.25">
      <c r="A87" s="98">
        <f t="shared" si="19"/>
        <v>85</v>
      </c>
      <c r="B87" s="86"/>
      <c r="C87" s="86"/>
      <c r="D87" s="86"/>
      <c r="E87" s="86">
        <v>1</v>
      </c>
      <c r="F87" s="96" t="s">
        <v>85</v>
      </c>
      <c r="G87" s="86"/>
      <c r="H87" s="86">
        <v>0</v>
      </c>
      <c r="I87" s="86">
        <v>0</v>
      </c>
      <c r="J87" s="86">
        <v>0</v>
      </c>
      <c r="K87" s="86">
        <v>0</v>
      </c>
      <c r="L87" s="86">
        <v>0</v>
      </c>
      <c r="M87" s="86">
        <f>VLOOKUP(F87,'Прайс Лазер'!$L$3:$M$9,2,0)</f>
        <v>94</v>
      </c>
      <c r="N87" s="86">
        <v>25</v>
      </c>
      <c r="O87" s="95">
        <f>VLOOKUP(E87,'Прайс Лазер'!$I$4:$J$21,2,0)</f>
        <v>1.1499999999999999</v>
      </c>
      <c r="P87" s="86">
        <f>HLOOKUP('Оценка лазера'!$E87,'Прайс Лазер'!$C$26:$T$34,1+VLOOKUP(F87,'Прайс Лазер'!$A$26:$B$34,2,0),0)</f>
        <v>21.849999999999998</v>
      </c>
      <c r="Q87" s="86">
        <f t="shared" si="13"/>
        <v>0</v>
      </c>
      <c r="R87" s="86">
        <f t="shared" si="14"/>
        <v>0</v>
      </c>
      <c r="S87" s="86">
        <f t="shared" si="15"/>
        <v>0</v>
      </c>
      <c r="T87" s="86">
        <f t="shared" si="17"/>
        <v>0</v>
      </c>
      <c r="U87" s="86">
        <f t="shared" si="16"/>
        <v>0</v>
      </c>
      <c r="V87" s="99">
        <f t="shared" si="18"/>
        <v>0</v>
      </c>
    </row>
    <row r="88" spans="1:22" ht="15" x14ac:dyDescent="0.25">
      <c r="A88" s="98">
        <f t="shared" si="19"/>
        <v>86</v>
      </c>
      <c r="B88" s="86"/>
      <c r="C88" s="86"/>
      <c r="D88" s="86"/>
      <c r="E88" s="86">
        <v>1</v>
      </c>
      <c r="F88" s="96" t="s">
        <v>85</v>
      </c>
      <c r="G88" s="86"/>
      <c r="H88" s="86">
        <v>0</v>
      </c>
      <c r="I88" s="86">
        <v>0</v>
      </c>
      <c r="J88" s="86">
        <v>0</v>
      </c>
      <c r="K88" s="86">
        <v>0</v>
      </c>
      <c r="L88" s="86">
        <v>0</v>
      </c>
      <c r="M88" s="86">
        <f>VLOOKUP(F88,'Прайс Лазер'!$L$3:$M$9,2,0)</f>
        <v>94</v>
      </c>
      <c r="N88" s="86">
        <v>25</v>
      </c>
      <c r="O88" s="95">
        <f>VLOOKUP(E88,'Прайс Лазер'!$I$4:$J$21,2,0)</f>
        <v>1.1499999999999999</v>
      </c>
      <c r="P88" s="86">
        <f>HLOOKUP('Оценка лазера'!$E88,'Прайс Лазер'!$C$26:$T$34,1+VLOOKUP(F88,'Прайс Лазер'!$A$26:$B$34,2,0),0)</f>
        <v>21.849999999999998</v>
      </c>
      <c r="Q88" s="86">
        <f t="shared" si="13"/>
        <v>0</v>
      </c>
      <c r="R88" s="86">
        <f t="shared" si="14"/>
        <v>0</v>
      </c>
      <c r="S88" s="86">
        <f t="shared" si="15"/>
        <v>0</v>
      </c>
      <c r="T88" s="86">
        <f t="shared" si="17"/>
        <v>0</v>
      </c>
      <c r="U88" s="86">
        <f t="shared" si="16"/>
        <v>0</v>
      </c>
      <c r="V88" s="99">
        <f t="shared" si="18"/>
        <v>0</v>
      </c>
    </row>
    <row r="89" spans="1:22" ht="15" x14ac:dyDescent="0.25">
      <c r="A89" s="98">
        <f t="shared" si="19"/>
        <v>87</v>
      </c>
      <c r="B89" s="86"/>
      <c r="C89" s="86"/>
      <c r="D89" s="86"/>
      <c r="E89" s="86">
        <v>1</v>
      </c>
      <c r="F89" s="96" t="s">
        <v>85</v>
      </c>
      <c r="G89" s="86"/>
      <c r="H89" s="86">
        <v>0</v>
      </c>
      <c r="I89" s="86">
        <v>0</v>
      </c>
      <c r="J89" s="86">
        <v>0</v>
      </c>
      <c r="K89" s="86">
        <v>0</v>
      </c>
      <c r="L89" s="86">
        <v>0</v>
      </c>
      <c r="M89" s="86">
        <f>VLOOKUP(F89,'Прайс Лазер'!$L$3:$M$9,2,0)</f>
        <v>94</v>
      </c>
      <c r="N89" s="86">
        <v>25</v>
      </c>
      <c r="O89" s="95">
        <f>VLOOKUP(E89,'Прайс Лазер'!$I$4:$J$21,2,0)</f>
        <v>1.1499999999999999</v>
      </c>
      <c r="P89" s="86">
        <f>HLOOKUP('Оценка лазера'!$E89,'Прайс Лазер'!$C$26:$T$34,1+VLOOKUP(F89,'Прайс Лазер'!$A$26:$B$34,2,0),0)</f>
        <v>21.849999999999998</v>
      </c>
      <c r="Q89" s="86">
        <f t="shared" si="13"/>
        <v>0</v>
      </c>
      <c r="R89" s="86">
        <f t="shared" si="14"/>
        <v>0</v>
      </c>
      <c r="S89" s="86">
        <f t="shared" si="15"/>
        <v>0</v>
      </c>
      <c r="T89" s="86">
        <f t="shared" si="17"/>
        <v>0</v>
      </c>
      <c r="U89" s="86">
        <f t="shared" si="16"/>
        <v>0</v>
      </c>
      <c r="V89" s="99">
        <f t="shared" si="18"/>
        <v>0</v>
      </c>
    </row>
    <row r="90" spans="1:22" ht="15" x14ac:dyDescent="0.25">
      <c r="A90" s="98">
        <f t="shared" si="19"/>
        <v>88</v>
      </c>
      <c r="B90" s="86"/>
      <c r="C90" s="86"/>
      <c r="D90" s="86"/>
      <c r="E90" s="86">
        <v>1</v>
      </c>
      <c r="F90" s="96" t="s">
        <v>85</v>
      </c>
      <c r="G90" s="86"/>
      <c r="H90" s="86">
        <v>0</v>
      </c>
      <c r="I90" s="86">
        <v>0</v>
      </c>
      <c r="J90" s="86">
        <v>0</v>
      </c>
      <c r="K90" s="86">
        <v>0</v>
      </c>
      <c r="L90" s="86">
        <v>0</v>
      </c>
      <c r="M90" s="86">
        <f>VLOOKUP(F90,'Прайс Лазер'!$L$3:$M$9,2,0)</f>
        <v>94</v>
      </c>
      <c r="N90" s="86">
        <v>25</v>
      </c>
      <c r="O90" s="95">
        <f>VLOOKUP(E90,'Прайс Лазер'!$I$4:$J$21,2,0)</f>
        <v>1.1499999999999999</v>
      </c>
      <c r="P90" s="86">
        <f>HLOOKUP('Оценка лазера'!$E90,'Прайс Лазер'!$C$26:$T$34,1+VLOOKUP(F90,'Прайс Лазер'!$A$26:$B$34,2,0),0)</f>
        <v>21.849999999999998</v>
      </c>
      <c r="Q90" s="86">
        <f t="shared" si="13"/>
        <v>0</v>
      </c>
      <c r="R90" s="86">
        <f t="shared" si="14"/>
        <v>0</v>
      </c>
      <c r="S90" s="86">
        <f t="shared" si="15"/>
        <v>0</v>
      </c>
      <c r="T90" s="86">
        <f t="shared" si="17"/>
        <v>0</v>
      </c>
      <c r="U90" s="86">
        <f t="shared" si="16"/>
        <v>0</v>
      </c>
      <c r="V90" s="99">
        <f t="shared" si="18"/>
        <v>0</v>
      </c>
    </row>
    <row r="91" spans="1:22" ht="15" x14ac:dyDescent="0.25">
      <c r="A91" s="98">
        <f t="shared" si="19"/>
        <v>89</v>
      </c>
      <c r="B91" s="86"/>
      <c r="C91" s="86"/>
      <c r="D91" s="86"/>
      <c r="E91" s="86">
        <v>1</v>
      </c>
      <c r="F91" s="96" t="s">
        <v>85</v>
      </c>
      <c r="G91" s="86"/>
      <c r="H91" s="86">
        <v>0</v>
      </c>
      <c r="I91" s="86">
        <v>0</v>
      </c>
      <c r="J91" s="86">
        <v>0</v>
      </c>
      <c r="K91" s="86">
        <v>0</v>
      </c>
      <c r="L91" s="86">
        <v>0</v>
      </c>
      <c r="M91" s="86">
        <f>VLOOKUP(F91,'Прайс Лазер'!$L$3:$M$9,2,0)</f>
        <v>94</v>
      </c>
      <c r="N91" s="86">
        <v>25</v>
      </c>
      <c r="O91" s="95">
        <f>VLOOKUP(E91,'Прайс Лазер'!$I$4:$J$21,2,0)</f>
        <v>1.1499999999999999</v>
      </c>
      <c r="P91" s="86">
        <f>HLOOKUP('Оценка лазера'!$E91,'Прайс Лазер'!$C$26:$T$34,1+VLOOKUP(F91,'Прайс Лазер'!$A$26:$B$34,2,0),0)</f>
        <v>21.849999999999998</v>
      </c>
      <c r="Q91" s="86">
        <f t="shared" si="13"/>
        <v>0</v>
      </c>
      <c r="R91" s="86">
        <f t="shared" si="14"/>
        <v>0</v>
      </c>
      <c r="S91" s="86">
        <f t="shared" si="15"/>
        <v>0</v>
      </c>
      <c r="T91" s="86">
        <f t="shared" si="17"/>
        <v>0</v>
      </c>
      <c r="U91" s="86">
        <f t="shared" si="16"/>
        <v>0</v>
      </c>
      <c r="V91" s="99">
        <f t="shared" si="18"/>
        <v>0</v>
      </c>
    </row>
    <row r="92" spans="1:22" ht="15" x14ac:dyDescent="0.25">
      <c r="A92" s="98">
        <f t="shared" si="19"/>
        <v>90</v>
      </c>
      <c r="B92" s="86"/>
      <c r="C92" s="86"/>
      <c r="D92" s="86"/>
      <c r="E92" s="86">
        <v>1</v>
      </c>
      <c r="F92" s="96" t="s">
        <v>85</v>
      </c>
      <c r="G92" s="86"/>
      <c r="H92" s="86">
        <v>0</v>
      </c>
      <c r="I92" s="86">
        <v>0</v>
      </c>
      <c r="J92" s="86">
        <v>0</v>
      </c>
      <c r="K92" s="86">
        <v>0</v>
      </c>
      <c r="L92" s="86">
        <v>0</v>
      </c>
      <c r="M92" s="86">
        <f>VLOOKUP(F92,'Прайс Лазер'!$L$3:$M$9,2,0)</f>
        <v>94</v>
      </c>
      <c r="N92" s="86">
        <v>25</v>
      </c>
      <c r="O92" s="95">
        <f>VLOOKUP(E92,'Прайс Лазер'!$I$4:$J$21,2,0)</f>
        <v>1.1499999999999999</v>
      </c>
      <c r="P92" s="86">
        <f>HLOOKUP('Оценка лазера'!$E92,'Прайс Лазер'!$C$26:$T$34,1+VLOOKUP(F92,'Прайс Лазер'!$A$26:$B$34,2,0),0)</f>
        <v>21.849999999999998</v>
      </c>
      <c r="Q92" s="86">
        <f t="shared" si="13"/>
        <v>0</v>
      </c>
      <c r="R92" s="86">
        <f t="shared" si="14"/>
        <v>0</v>
      </c>
      <c r="S92" s="86">
        <f t="shared" si="15"/>
        <v>0</v>
      </c>
      <c r="T92" s="86">
        <f t="shared" si="17"/>
        <v>0</v>
      </c>
      <c r="U92" s="86">
        <f t="shared" si="16"/>
        <v>0</v>
      </c>
      <c r="V92" s="99">
        <f t="shared" si="18"/>
        <v>0</v>
      </c>
    </row>
    <row r="93" spans="1:22" ht="15" x14ac:dyDescent="0.25">
      <c r="A93" s="98">
        <f t="shared" si="19"/>
        <v>91</v>
      </c>
      <c r="B93" s="86"/>
      <c r="C93" s="86"/>
      <c r="D93" s="86"/>
      <c r="E93" s="86">
        <v>1</v>
      </c>
      <c r="F93" s="96" t="s">
        <v>85</v>
      </c>
      <c r="G93" s="86"/>
      <c r="H93" s="86">
        <v>0</v>
      </c>
      <c r="I93" s="86">
        <v>0</v>
      </c>
      <c r="J93" s="86">
        <v>0</v>
      </c>
      <c r="K93" s="86">
        <v>0</v>
      </c>
      <c r="L93" s="86">
        <v>0</v>
      </c>
      <c r="M93" s="86">
        <f>VLOOKUP(F93,'Прайс Лазер'!$L$3:$M$9,2,0)</f>
        <v>94</v>
      </c>
      <c r="N93" s="86">
        <v>25</v>
      </c>
      <c r="O93" s="95">
        <f>VLOOKUP(E93,'Прайс Лазер'!$I$4:$J$21,2,0)</f>
        <v>1.1499999999999999</v>
      </c>
      <c r="P93" s="86">
        <f>HLOOKUP('Оценка лазера'!$E93,'Прайс Лазер'!$C$26:$T$34,1+VLOOKUP(F93,'Прайс Лазер'!$A$26:$B$34,2,0),0)</f>
        <v>21.849999999999998</v>
      </c>
      <c r="Q93" s="86">
        <f t="shared" si="13"/>
        <v>0</v>
      </c>
      <c r="R93" s="86">
        <f t="shared" si="14"/>
        <v>0</v>
      </c>
      <c r="S93" s="86">
        <f t="shared" si="15"/>
        <v>0</v>
      </c>
      <c r="T93" s="86">
        <f t="shared" si="17"/>
        <v>0</v>
      </c>
      <c r="U93" s="86">
        <f t="shared" si="16"/>
        <v>0</v>
      </c>
      <c r="V93" s="99">
        <f t="shared" si="18"/>
        <v>0</v>
      </c>
    </row>
    <row r="94" spans="1:22" ht="15" x14ac:dyDescent="0.25">
      <c r="A94" s="98">
        <f t="shared" si="19"/>
        <v>92</v>
      </c>
      <c r="B94" s="86"/>
      <c r="C94" s="86"/>
      <c r="D94" s="86"/>
      <c r="E94" s="86">
        <v>1</v>
      </c>
      <c r="F94" s="96" t="s">
        <v>85</v>
      </c>
      <c r="G94" s="86"/>
      <c r="H94" s="86">
        <v>0</v>
      </c>
      <c r="I94" s="86">
        <v>0</v>
      </c>
      <c r="J94" s="86">
        <v>0</v>
      </c>
      <c r="K94" s="86">
        <v>0</v>
      </c>
      <c r="L94" s="86">
        <v>0</v>
      </c>
      <c r="M94" s="86">
        <f>VLOOKUP(F94,'Прайс Лазер'!$L$3:$M$9,2,0)</f>
        <v>94</v>
      </c>
      <c r="N94" s="86">
        <v>25</v>
      </c>
      <c r="O94" s="95">
        <f>VLOOKUP(E94,'Прайс Лазер'!$I$4:$J$21,2,0)</f>
        <v>1.1499999999999999</v>
      </c>
      <c r="P94" s="86">
        <f>HLOOKUP('Оценка лазера'!$E94,'Прайс Лазер'!$C$26:$T$34,1+VLOOKUP(F94,'Прайс Лазер'!$A$26:$B$34,2,0),0)</f>
        <v>21.849999999999998</v>
      </c>
      <c r="Q94" s="86">
        <f t="shared" si="13"/>
        <v>0</v>
      </c>
      <c r="R94" s="86">
        <f t="shared" si="14"/>
        <v>0</v>
      </c>
      <c r="S94" s="86">
        <f t="shared" si="15"/>
        <v>0</v>
      </c>
      <c r="T94" s="86">
        <f t="shared" si="17"/>
        <v>0</v>
      </c>
      <c r="U94" s="86">
        <f t="shared" si="16"/>
        <v>0</v>
      </c>
      <c r="V94" s="99">
        <f t="shared" si="18"/>
        <v>0</v>
      </c>
    </row>
    <row r="95" spans="1:22" ht="15" x14ac:dyDescent="0.25">
      <c r="A95" s="98">
        <f t="shared" si="19"/>
        <v>93</v>
      </c>
      <c r="B95" s="86"/>
      <c r="C95" s="86"/>
      <c r="D95" s="86"/>
      <c r="E95" s="86">
        <v>1</v>
      </c>
      <c r="F95" s="96" t="s">
        <v>85</v>
      </c>
      <c r="G95" s="86"/>
      <c r="H95" s="86">
        <v>0</v>
      </c>
      <c r="I95" s="86">
        <v>0</v>
      </c>
      <c r="J95" s="86">
        <v>0</v>
      </c>
      <c r="K95" s="86">
        <v>0</v>
      </c>
      <c r="L95" s="86">
        <v>0</v>
      </c>
      <c r="M95" s="86">
        <f>VLOOKUP(F95,'Прайс Лазер'!$L$3:$M$9,2,0)</f>
        <v>94</v>
      </c>
      <c r="N95" s="86">
        <v>25</v>
      </c>
      <c r="O95" s="95">
        <f>VLOOKUP(E95,'Прайс Лазер'!$I$4:$J$21,2,0)</f>
        <v>1.1499999999999999</v>
      </c>
      <c r="P95" s="86">
        <f>HLOOKUP('Оценка лазера'!$E95,'Прайс Лазер'!$C$26:$T$34,1+VLOOKUP(F95,'Прайс Лазер'!$A$26:$B$34,2,0),0)</f>
        <v>21.849999999999998</v>
      </c>
      <c r="Q95" s="86">
        <f t="shared" si="13"/>
        <v>0</v>
      </c>
      <c r="R95" s="86">
        <f t="shared" si="14"/>
        <v>0</v>
      </c>
      <c r="S95" s="86">
        <f t="shared" si="15"/>
        <v>0</v>
      </c>
      <c r="T95" s="86">
        <f t="shared" si="17"/>
        <v>0</v>
      </c>
      <c r="U95" s="86">
        <f t="shared" si="16"/>
        <v>0</v>
      </c>
      <c r="V95" s="99">
        <f t="shared" si="18"/>
        <v>0</v>
      </c>
    </row>
    <row r="96" spans="1:22" ht="15" x14ac:dyDescent="0.25">
      <c r="A96" s="98">
        <f t="shared" si="19"/>
        <v>94</v>
      </c>
      <c r="B96" s="86"/>
      <c r="C96" s="86"/>
      <c r="D96" s="86"/>
      <c r="E96" s="86">
        <v>1</v>
      </c>
      <c r="F96" s="96" t="s">
        <v>85</v>
      </c>
      <c r="G96" s="86"/>
      <c r="H96" s="86">
        <v>0</v>
      </c>
      <c r="I96" s="86">
        <v>0</v>
      </c>
      <c r="J96" s="86">
        <v>0</v>
      </c>
      <c r="K96" s="86">
        <v>0</v>
      </c>
      <c r="L96" s="86">
        <v>0</v>
      </c>
      <c r="M96" s="86">
        <f>VLOOKUP(F96,'Прайс Лазер'!$L$3:$M$9,2,0)</f>
        <v>94</v>
      </c>
      <c r="N96" s="86">
        <v>25</v>
      </c>
      <c r="O96" s="95">
        <f>VLOOKUP(E96,'Прайс Лазер'!$I$4:$J$21,2,0)</f>
        <v>1.1499999999999999</v>
      </c>
      <c r="P96" s="86">
        <f>HLOOKUP('Оценка лазера'!$E96,'Прайс Лазер'!$C$26:$T$34,1+VLOOKUP(F96,'Прайс Лазер'!$A$26:$B$34,2,0),0)</f>
        <v>21.849999999999998</v>
      </c>
      <c r="Q96" s="86">
        <f t="shared" si="13"/>
        <v>0</v>
      </c>
      <c r="R96" s="86">
        <f t="shared" si="14"/>
        <v>0</v>
      </c>
      <c r="S96" s="86">
        <f t="shared" si="15"/>
        <v>0</v>
      </c>
      <c r="T96" s="86">
        <f t="shared" si="17"/>
        <v>0</v>
      </c>
      <c r="U96" s="86">
        <f t="shared" si="16"/>
        <v>0</v>
      </c>
      <c r="V96" s="99">
        <f t="shared" si="18"/>
        <v>0</v>
      </c>
    </row>
    <row r="97" spans="1:22" ht="15" x14ac:dyDescent="0.25">
      <c r="A97" s="98">
        <f t="shared" si="19"/>
        <v>95</v>
      </c>
      <c r="B97" s="86"/>
      <c r="C97" s="86"/>
      <c r="D97" s="86"/>
      <c r="E97" s="86">
        <v>1</v>
      </c>
      <c r="F97" s="96" t="s">
        <v>85</v>
      </c>
      <c r="G97" s="86"/>
      <c r="H97" s="86">
        <v>0</v>
      </c>
      <c r="I97" s="86">
        <v>0</v>
      </c>
      <c r="J97" s="86">
        <v>0</v>
      </c>
      <c r="K97" s="86">
        <v>0</v>
      </c>
      <c r="L97" s="86">
        <v>0</v>
      </c>
      <c r="M97" s="86">
        <f>VLOOKUP(F97,'Прайс Лазер'!$L$3:$M$9,2,0)</f>
        <v>94</v>
      </c>
      <c r="N97" s="86">
        <v>25</v>
      </c>
      <c r="O97" s="95">
        <f>VLOOKUP(E97,'Прайс Лазер'!$I$4:$J$21,2,0)</f>
        <v>1.1499999999999999</v>
      </c>
      <c r="P97" s="86">
        <f>HLOOKUP('Оценка лазера'!$E97,'Прайс Лазер'!$C$26:$T$34,1+VLOOKUP(F97,'Прайс Лазер'!$A$26:$B$34,2,0),0)</f>
        <v>21.849999999999998</v>
      </c>
      <c r="Q97" s="86">
        <f t="shared" si="13"/>
        <v>0</v>
      </c>
      <c r="R97" s="86">
        <f t="shared" si="14"/>
        <v>0</v>
      </c>
      <c r="S97" s="86">
        <f t="shared" si="15"/>
        <v>0</v>
      </c>
      <c r="T97" s="86">
        <f t="shared" si="17"/>
        <v>0</v>
      </c>
      <c r="U97" s="86">
        <f t="shared" si="16"/>
        <v>0</v>
      </c>
      <c r="V97" s="99">
        <f t="shared" si="18"/>
        <v>0</v>
      </c>
    </row>
    <row r="98" spans="1:22" ht="15" x14ac:dyDescent="0.25">
      <c r="A98" s="98">
        <f t="shared" si="19"/>
        <v>96</v>
      </c>
      <c r="B98" s="86"/>
      <c r="C98" s="86"/>
      <c r="D98" s="86"/>
      <c r="E98" s="86">
        <v>1</v>
      </c>
      <c r="F98" s="96" t="s">
        <v>85</v>
      </c>
      <c r="G98" s="86"/>
      <c r="H98" s="86">
        <v>0</v>
      </c>
      <c r="I98" s="86">
        <v>0</v>
      </c>
      <c r="J98" s="86">
        <v>0</v>
      </c>
      <c r="K98" s="86">
        <v>0</v>
      </c>
      <c r="L98" s="86">
        <v>0</v>
      </c>
      <c r="M98" s="86">
        <f>VLOOKUP(F98,'Прайс Лазер'!$L$3:$M$9,2,0)</f>
        <v>94</v>
      </c>
      <c r="N98" s="86">
        <v>25</v>
      </c>
      <c r="O98" s="95">
        <f>VLOOKUP(E98,'Прайс Лазер'!$I$4:$J$21,2,0)</f>
        <v>1.1499999999999999</v>
      </c>
      <c r="P98" s="86">
        <f>HLOOKUP('Оценка лазера'!$E98,'Прайс Лазер'!$C$26:$T$34,1+VLOOKUP(F98,'Прайс Лазер'!$A$26:$B$34,2,0),0)</f>
        <v>21.849999999999998</v>
      </c>
      <c r="Q98" s="86">
        <f t="shared" si="13"/>
        <v>0</v>
      </c>
      <c r="R98" s="86">
        <f t="shared" si="14"/>
        <v>0</v>
      </c>
      <c r="S98" s="86">
        <f t="shared" si="15"/>
        <v>0</v>
      </c>
      <c r="T98" s="86">
        <f t="shared" si="17"/>
        <v>0</v>
      </c>
      <c r="U98" s="86">
        <f t="shared" si="16"/>
        <v>0</v>
      </c>
      <c r="V98" s="99">
        <f t="shared" si="18"/>
        <v>0</v>
      </c>
    </row>
    <row r="99" spans="1:22" ht="15" x14ac:dyDescent="0.25">
      <c r="A99" s="98">
        <f t="shared" si="19"/>
        <v>97</v>
      </c>
      <c r="B99" s="86"/>
      <c r="C99" s="86"/>
      <c r="D99" s="86"/>
      <c r="E99" s="86">
        <v>1</v>
      </c>
      <c r="F99" s="96" t="s">
        <v>85</v>
      </c>
      <c r="G99" s="86"/>
      <c r="H99" s="86">
        <v>0</v>
      </c>
      <c r="I99" s="86">
        <v>0</v>
      </c>
      <c r="J99" s="86">
        <v>0</v>
      </c>
      <c r="K99" s="86">
        <v>0</v>
      </c>
      <c r="L99" s="86">
        <v>0</v>
      </c>
      <c r="M99" s="86">
        <f>VLOOKUP(F99,'Прайс Лазер'!$L$3:$M$9,2,0)</f>
        <v>94</v>
      </c>
      <c r="N99" s="86">
        <v>25</v>
      </c>
      <c r="O99" s="95">
        <f>VLOOKUP(E99,'Прайс Лазер'!$I$4:$J$21,2,0)</f>
        <v>1.1499999999999999</v>
      </c>
      <c r="P99" s="86">
        <f>HLOOKUP('Оценка лазера'!$E99,'Прайс Лазер'!$C$26:$T$34,1+VLOOKUP(F99,'Прайс Лазер'!$A$26:$B$34,2,0),0)</f>
        <v>21.849999999999998</v>
      </c>
      <c r="Q99" s="86">
        <f t="shared" si="13"/>
        <v>0</v>
      </c>
      <c r="R99" s="86">
        <f t="shared" si="14"/>
        <v>0</v>
      </c>
      <c r="S99" s="86">
        <f t="shared" si="15"/>
        <v>0</v>
      </c>
      <c r="T99" s="86">
        <f t="shared" si="17"/>
        <v>0</v>
      </c>
      <c r="U99" s="86">
        <f t="shared" si="16"/>
        <v>0</v>
      </c>
      <c r="V99" s="99">
        <f t="shared" si="18"/>
        <v>0</v>
      </c>
    </row>
    <row r="100" spans="1:22" ht="15" x14ac:dyDescent="0.25">
      <c r="A100" s="98">
        <f t="shared" si="19"/>
        <v>98</v>
      </c>
      <c r="B100" s="86"/>
      <c r="C100" s="86"/>
      <c r="D100" s="86"/>
      <c r="E100" s="86">
        <v>1</v>
      </c>
      <c r="F100" s="96" t="s">
        <v>85</v>
      </c>
      <c r="G100" s="86"/>
      <c r="H100" s="86">
        <v>0</v>
      </c>
      <c r="I100" s="86">
        <v>0</v>
      </c>
      <c r="J100" s="86">
        <v>0</v>
      </c>
      <c r="K100" s="86">
        <v>0</v>
      </c>
      <c r="L100" s="86">
        <v>0</v>
      </c>
      <c r="M100" s="86">
        <f>VLOOKUP(F100,'Прайс Лазер'!$L$3:$M$9,2,0)</f>
        <v>94</v>
      </c>
      <c r="N100" s="86">
        <v>25</v>
      </c>
      <c r="O100" s="95">
        <f>VLOOKUP(E100,'Прайс Лазер'!$I$4:$J$21,2,0)</f>
        <v>1.1499999999999999</v>
      </c>
      <c r="P100" s="86">
        <f>HLOOKUP('Оценка лазера'!$E100,'Прайс Лазер'!$C$26:$T$34,1+VLOOKUP(F100,'Прайс Лазер'!$A$26:$B$34,2,0),0)</f>
        <v>21.849999999999998</v>
      </c>
      <c r="Q100" s="86">
        <f t="shared" si="13"/>
        <v>0</v>
      </c>
      <c r="R100" s="86">
        <f t="shared" si="14"/>
        <v>0</v>
      </c>
      <c r="S100" s="86">
        <f t="shared" si="15"/>
        <v>0</v>
      </c>
      <c r="T100" s="86">
        <f t="shared" si="17"/>
        <v>0</v>
      </c>
      <c r="U100" s="86">
        <f t="shared" si="16"/>
        <v>0</v>
      </c>
      <c r="V100" s="99">
        <f t="shared" si="18"/>
        <v>0</v>
      </c>
    </row>
    <row r="101" spans="1:22" ht="15" x14ac:dyDescent="0.25">
      <c r="A101" s="98">
        <f t="shared" si="19"/>
        <v>99</v>
      </c>
      <c r="B101" s="86"/>
      <c r="C101" s="86"/>
      <c r="D101" s="86"/>
      <c r="E101" s="86">
        <v>1</v>
      </c>
      <c r="F101" s="96" t="s">
        <v>85</v>
      </c>
      <c r="G101" s="86"/>
      <c r="H101" s="86">
        <v>0</v>
      </c>
      <c r="I101" s="86">
        <v>0</v>
      </c>
      <c r="J101" s="86">
        <v>0</v>
      </c>
      <c r="K101" s="86">
        <v>0</v>
      </c>
      <c r="L101" s="86">
        <v>0</v>
      </c>
      <c r="M101" s="86">
        <f>VLOOKUP(F101,'Прайс Лазер'!$L$3:$M$9,2,0)</f>
        <v>94</v>
      </c>
      <c r="N101" s="86">
        <v>25</v>
      </c>
      <c r="O101" s="95">
        <f>VLOOKUP(E101,'Прайс Лазер'!$I$4:$J$21,2,0)</f>
        <v>1.1499999999999999</v>
      </c>
      <c r="P101" s="86">
        <f>HLOOKUP('Оценка лазера'!$E101,'Прайс Лазер'!$C$26:$T$34,1+VLOOKUP(F101,'Прайс Лазер'!$A$26:$B$34,2,0),0)</f>
        <v>21.849999999999998</v>
      </c>
      <c r="Q101" s="86">
        <f t="shared" si="13"/>
        <v>0</v>
      </c>
      <c r="R101" s="86">
        <f t="shared" si="14"/>
        <v>0</v>
      </c>
      <c r="S101" s="86">
        <f t="shared" si="15"/>
        <v>0</v>
      </c>
      <c r="T101" s="86">
        <f t="shared" si="17"/>
        <v>0</v>
      </c>
      <c r="U101" s="86">
        <f t="shared" si="16"/>
        <v>0</v>
      </c>
      <c r="V101" s="99">
        <f t="shared" si="18"/>
        <v>0</v>
      </c>
    </row>
    <row r="102" spans="1:22" ht="15" x14ac:dyDescent="0.25">
      <c r="A102" s="98">
        <f t="shared" si="19"/>
        <v>100</v>
      </c>
      <c r="B102" s="86"/>
      <c r="C102" s="86"/>
      <c r="D102" s="86"/>
      <c r="E102" s="86">
        <v>1</v>
      </c>
      <c r="F102" s="96" t="s">
        <v>85</v>
      </c>
      <c r="G102" s="86"/>
      <c r="H102" s="86">
        <v>0</v>
      </c>
      <c r="I102" s="86">
        <v>0</v>
      </c>
      <c r="J102" s="86">
        <v>0</v>
      </c>
      <c r="K102" s="86">
        <v>0</v>
      </c>
      <c r="L102" s="86">
        <v>0</v>
      </c>
      <c r="M102" s="86">
        <f>VLOOKUP(F102,'Прайс Лазер'!$L$3:$M$9,2,0)</f>
        <v>94</v>
      </c>
      <c r="N102" s="86">
        <v>25</v>
      </c>
      <c r="O102" s="95">
        <f>VLOOKUP(E102,'Прайс Лазер'!$I$4:$J$21,2,0)</f>
        <v>1.1499999999999999</v>
      </c>
      <c r="P102" s="86">
        <f>HLOOKUP('Оценка лазера'!$E102,'Прайс Лазер'!$C$26:$T$34,1+VLOOKUP(F102,'Прайс Лазер'!$A$26:$B$34,2,0),0)</f>
        <v>21.849999999999998</v>
      </c>
      <c r="Q102" s="86">
        <f t="shared" si="13"/>
        <v>0</v>
      </c>
      <c r="R102" s="86">
        <f t="shared" si="14"/>
        <v>0</v>
      </c>
      <c r="S102" s="86">
        <f t="shared" si="15"/>
        <v>0</v>
      </c>
      <c r="T102" s="86">
        <f t="shared" si="17"/>
        <v>0</v>
      </c>
      <c r="U102" s="86">
        <f t="shared" si="16"/>
        <v>0</v>
      </c>
      <c r="V102" s="99">
        <f t="shared" si="18"/>
        <v>0</v>
      </c>
    </row>
    <row r="103" spans="1:22" ht="15" x14ac:dyDescent="0.25">
      <c r="A103" s="98">
        <f t="shared" si="19"/>
        <v>101</v>
      </c>
      <c r="B103" s="86"/>
      <c r="C103" s="86"/>
      <c r="D103" s="86"/>
      <c r="E103" s="86">
        <v>1</v>
      </c>
      <c r="F103" s="96" t="s">
        <v>85</v>
      </c>
      <c r="G103" s="86"/>
      <c r="H103" s="86">
        <v>0</v>
      </c>
      <c r="I103" s="86">
        <v>0</v>
      </c>
      <c r="J103" s="86">
        <v>0</v>
      </c>
      <c r="K103" s="86">
        <v>0</v>
      </c>
      <c r="L103" s="86">
        <v>0</v>
      </c>
      <c r="M103" s="86">
        <f>VLOOKUP(F103,'Прайс Лазер'!$L$3:$M$9,2,0)</f>
        <v>94</v>
      </c>
      <c r="N103" s="86">
        <v>25</v>
      </c>
      <c r="O103" s="95">
        <f>VLOOKUP(E103,'Прайс Лазер'!$I$4:$J$21,2,0)</f>
        <v>1.1499999999999999</v>
      </c>
      <c r="P103" s="86">
        <f>HLOOKUP('Оценка лазера'!$E103,'Прайс Лазер'!$C$26:$T$34,1+VLOOKUP(F103,'Прайс Лазер'!$A$26:$B$34,2,0),0)</f>
        <v>21.849999999999998</v>
      </c>
      <c r="Q103" s="86">
        <f t="shared" si="13"/>
        <v>0</v>
      </c>
      <c r="R103" s="86">
        <f t="shared" si="14"/>
        <v>0</v>
      </c>
      <c r="S103" s="86">
        <f t="shared" si="15"/>
        <v>0</v>
      </c>
      <c r="T103" s="86">
        <f t="shared" si="17"/>
        <v>0</v>
      </c>
      <c r="U103" s="86">
        <f t="shared" si="16"/>
        <v>0</v>
      </c>
      <c r="V103" s="99">
        <f t="shared" si="18"/>
        <v>0</v>
      </c>
    </row>
    <row r="104" spans="1:22" ht="15" x14ac:dyDescent="0.25">
      <c r="A104" s="98">
        <f t="shared" si="19"/>
        <v>102</v>
      </c>
      <c r="B104" s="86"/>
      <c r="C104" s="86"/>
      <c r="D104" s="86"/>
      <c r="E104" s="86">
        <v>1</v>
      </c>
      <c r="F104" s="96" t="s">
        <v>85</v>
      </c>
      <c r="G104" s="86"/>
      <c r="H104" s="86">
        <v>0</v>
      </c>
      <c r="I104" s="86">
        <v>0</v>
      </c>
      <c r="J104" s="86">
        <v>0</v>
      </c>
      <c r="K104" s="86">
        <v>0</v>
      </c>
      <c r="L104" s="86">
        <v>0</v>
      </c>
      <c r="M104" s="86">
        <f>VLOOKUP(F104,'Прайс Лазер'!$L$3:$M$9,2,0)</f>
        <v>94</v>
      </c>
      <c r="N104" s="86">
        <v>25</v>
      </c>
      <c r="O104" s="95">
        <f>VLOOKUP(E104,'Прайс Лазер'!$I$4:$J$21,2,0)</f>
        <v>1.1499999999999999</v>
      </c>
      <c r="P104" s="86">
        <f>HLOOKUP('Оценка лазера'!$E104,'Прайс Лазер'!$C$26:$T$34,1+VLOOKUP(F104,'Прайс Лазер'!$A$26:$B$34,2,0),0)</f>
        <v>21.849999999999998</v>
      </c>
      <c r="Q104" s="86">
        <f t="shared" si="13"/>
        <v>0</v>
      </c>
      <c r="R104" s="86">
        <f t="shared" si="14"/>
        <v>0</v>
      </c>
      <c r="S104" s="86">
        <f t="shared" si="15"/>
        <v>0</v>
      </c>
      <c r="T104" s="86">
        <f t="shared" si="17"/>
        <v>0</v>
      </c>
      <c r="U104" s="86">
        <f t="shared" si="16"/>
        <v>0</v>
      </c>
      <c r="V104" s="99">
        <f t="shared" si="18"/>
        <v>0</v>
      </c>
    </row>
    <row r="105" spans="1:22" ht="15" x14ac:dyDescent="0.25">
      <c r="A105" s="98">
        <f t="shared" si="19"/>
        <v>103</v>
      </c>
      <c r="B105" s="86"/>
      <c r="C105" s="86"/>
      <c r="D105" s="86"/>
      <c r="E105" s="86">
        <v>1</v>
      </c>
      <c r="F105" s="96" t="s">
        <v>85</v>
      </c>
      <c r="G105" s="86"/>
      <c r="H105" s="86">
        <v>0</v>
      </c>
      <c r="I105" s="86">
        <v>0</v>
      </c>
      <c r="J105" s="86">
        <v>0</v>
      </c>
      <c r="K105" s="86">
        <v>0</v>
      </c>
      <c r="L105" s="86">
        <v>0</v>
      </c>
      <c r="M105" s="86">
        <f>VLOOKUP(F105,'Прайс Лазер'!$L$3:$M$9,2,0)</f>
        <v>94</v>
      </c>
      <c r="N105" s="86">
        <v>25</v>
      </c>
      <c r="O105" s="95">
        <f>VLOOKUP(E105,'Прайс Лазер'!$I$4:$J$21,2,0)</f>
        <v>1.1499999999999999</v>
      </c>
      <c r="P105" s="86">
        <f>HLOOKUP('Оценка лазера'!$E105,'Прайс Лазер'!$C$26:$T$34,1+VLOOKUP(F105,'Прайс Лазер'!$A$26:$B$34,2,0),0)</f>
        <v>21.849999999999998</v>
      </c>
      <c r="Q105" s="86">
        <f t="shared" si="13"/>
        <v>0</v>
      </c>
      <c r="R105" s="86">
        <f t="shared" si="14"/>
        <v>0</v>
      </c>
      <c r="S105" s="86">
        <f t="shared" si="15"/>
        <v>0</v>
      </c>
      <c r="T105" s="86">
        <f t="shared" si="17"/>
        <v>0</v>
      </c>
      <c r="U105" s="86">
        <f t="shared" si="16"/>
        <v>0</v>
      </c>
      <c r="V105" s="99">
        <f t="shared" si="18"/>
        <v>0</v>
      </c>
    </row>
    <row r="106" spans="1:22" ht="15" x14ac:dyDescent="0.25">
      <c r="A106" s="98">
        <f t="shared" si="19"/>
        <v>104</v>
      </c>
      <c r="B106" s="86"/>
      <c r="C106" s="86"/>
      <c r="D106" s="86"/>
      <c r="E106" s="86">
        <v>1</v>
      </c>
      <c r="F106" s="96" t="s">
        <v>85</v>
      </c>
      <c r="G106" s="86"/>
      <c r="H106" s="86">
        <v>0</v>
      </c>
      <c r="I106" s="86">
        <v>0</v>
      </c>
      <c r="J106" s="86">
        <v>0</v>
      </c>
      <c r="K106" s="86">
        <v>0</v>
      </c>
      <c r="L106" s="86">
        <v>0</v>
      </c>
      <c r="M106" s="86">
        <f>VLOOKUP(F106,'Прайс Лазер'!$L$3:$M$9,2,0)</f>
        <v>94</v>
      </c>
      <c r="N106" s="86">
        <v>25</v>
      </c>
      <c r="O106" s="95">
        <f>VLOOKUP(E106,'Прайс Лазер'!$I$4:$J$21,2,0)</f>
        <v>1.1499999999999999</v>
      </c>
      <c r="P106" s="86">
        <f>HLOOKUP('Оценка лазера'!$E106,'Прайс Лазер'!$C$26:$T$34,1+VLOOKUP(F106,'Прайс Лазер'!$A$26:$B$34,2,0),0)</f>
        <v>21.849999999999998</v>
      </c>
      <c r="Q106" s="86">
        <f t="shared" si="13"/>
        <v>0</v>
      </c>
      <c r="R106" s="86">
        <f t="shared" si="14"/>
        <v>0</v>
      </c>
      <c r="S106" s="86">
        <f t="shared" si="15"/>
        <v>0</v>
      </c>
      <c r="T106" s="86">
        <f t="shared" si="17"/>
        <v>0</v>
      </c>
      <c r="U106" s="86">
        <f t="shared" si="16"/>
        <v>0</v>
      </c>
      <c r="V106" s="99">
        <f t="shared" si="18"/>
        <v>0</v>
      </c>
    </row>
    <row r="107" spans="1:22" ht="15" x14ac:dyDescent="0.25">
      <c r="A107" s="98">
        <f t="shared" si="19"/>
        <v>105</v>
      </c>
      <c r="B107" s="86"/>
      <c r="C107" s="86"/>
      <c r="D107" s="86"/>
      <c r="E107" s="86">
        <v>1</v>
      </c>
      <c r="F107" s="96" t="s">
        <v>85</v>
      </c>
      <c r="G107" s="86"/>
      <c r="H107" s="86">
        <v>0</v>
      </c>
      <c r="I107" s="86">
        <v>0</v>
      </c>
      <c r="J107" s="86">
        <v>0</v>
      </c>
      <c r="K107" s="86">
        <v>0</v>
      </c>
      <c r="L107" s="86">
        <v>0</v>
      </c>
      <c r="M107" s="86">
        <f>VLOOKUP(F107,'Прайс Лазер'!$L$3:$M$9,2,0)</f>
        <v>94</v>
      </c>
      <c r="N107" s="86">
        <v>25</v>
      </c>
      <c r="O107" s="95">
        <f>VLOOKUP(E107,'Прайс Лазер'!$I$4:$J$21,2,0)</f>
        <v>1.1499999999999999</v>
      </c>
      <c r="P107" s="86">
        <f>HLOOKUP('Оценка лазера'!$E107,'Прайс Лазер'!$C$26:$T$34,1+VLOOKUP(F107,'Прайс Лазер'!$A$26:$B$34,2,0),0)</f>
        <v>21.849999999999998</v>
      </c>
      <c r="Q107" s="86">
        <f t="shared" si="13"/>
        <v>0</v>
      </c>
      <c r="R107" s="86">
        <f t="shared" si="14"/>
        <v>0</v>
      </c>
      <c r="S107" s="86">
        <f t="shared" si="15"/>
        <v>0</v>
      </c>
      <c r="T107" s="86">
        <f t="shared" si="17"/>
        <v>0</v>
      </c>
      <c r="U107" s="86">
        <f t="shared" si="16"/>
        <v>0</v>
      </c>
      <c r="V107" s="99">
        <f t="shared" si="18"/>
        <v>0</v>
      </c>
    </row>
    <row r="108" spans="1:22" ht="15" x14ac:dyDescent="0.25">
      <c r="A108" s="98">
        <f t="shared" si="19"/>
        <v>106</v>
      </c>
      <c r="B108" s="86"/>
      <c r="C108" s="86"/>
      <c r="D108" s="86"/>
      <c r="E108" s="86">
        <v>1</v>
      </c>
      <c r="F108" s="96" t="s">
        <v>85</v>
      </c>
      <c r="G108" s="86"/>
      <c r="H108" s="86">
        <v>0</v>
      </c>
      <c r="I108" s="86">
        <v>0</v>
      </c>
      <c r="J108" s="86">
        <v>0</v>
      </c>
      <c r="K108" s="86">
        <v>0</v>
      </c>
      <c r="L108" s="86">
        <v>0</v>
      </c>
      <c r="M108" s="86">
        <f>VLOOKUP(F108,'Прайс Лазер'!$L$3:$M$9,2,0)</f>
        <v>94</v>
      </c>
      <c r="N108" s="86">
        <v>25</v>
      </c>
      <c r="O108" s="95">
        <f>VLOOKUP(E108,'Прайс Лазер'!$I$4:$J$21,2,0)</f>
        <v>1.1499999999999999</v>
      </c>
      <c r="P108" s="86">
        <f>HLOOKUP('Оценка лазера'!$E108,'Прайс Лазер'!$C$26:$T$34,1+VLOOKUP(F108,'Прайс Лазер'!$A$26:$B$34,2,0),0)</f>
        <v>21.849999999999998</v>
      </c>
      <c r="Q108" s="86">
        <f t="shared" si="13"/>
        <v>0</v>
      </c>
      <c r="R108" s="86">
        <f t="shared" si="14"/>
        <v>0</v>
      </c>
      <c r="S108" s="86">
        <f t="shared" si="15"/>
        <v>0</v>
      </c>
      <c r="T108" s="86">
        <f t="shared" si="17"/>
        <v>0</v>
      </c>
      <c r="U108" s="86">
        <f t="shared" si="16"/>
        <v>0</v>
      </c>
      <c r="V108" s="99">
        <f t="shared" si="18"/>
        <v>0</v>
      </c>
    </row>
    <row r="109" spans="1:22" ht="15" x14ac:dyDescent="0.25">
      <c r="A109" s="98">
        <f t="shared" si="19"/>
        <v>107</v>
      </c>
      <c r="B109" s="86"/>
      <c r="C109" s="86"/>
      <c r="D109" s="86"/>
      <c r="E109" s="86">
        <v>1</v>
      </c>
      <c r="F109" s="96" t="s">
        <v>85</v>
      </c>
      <c r="G109" s="86"/>
      <c r="H109" s="86">
        <v>0</v>
      </c>
      <c r="I109" s="86">
        <v>0</v>
      </c>
      <c r="J109" s="86">
        <v>0</v>
      </c>
      <c r="K109" s="86">
        <v>0</v>
      </c>
      <c r="L109" s="86">
        <v>0</v>
      </c>
      <c r="M109" s="86">
        <f>VLOOKUP(F109,'Прайс Лазер'!$L$3:$M$9,2,0)</f>
        <v>94</v>
      </c>
      <c r="N109" s="86">
        <v>25</v>
      </c>
      <c r="O109" s="95">
        <f>VLOOKUP(E109,'Прайс Лазер'!$I$4:$J$21,2,0)</f>
        <v>1.1499999999999999</v>
      </c>
      <c r="P109" s="86">
        <f>HLOOKUP('Оценка лазера'!$E109,'Прайс Лазер'!$C$26:$T$34,1+VLOOKUP(F109,'Прайс Лазер'!$A$26:$B$34,2,0),0)</f>
        <v>21.849999999999998</v>
      </c>
      <c r="Q109" s="86">
        <f t="shared" si="13"/>
        <v>0</v>
      </c>
      <c r="R109" s="86">
        <f t="shared" si="14"/>
        <v>0</v>
      </c>
      <c r="S109" s="86">
        <f t="shared" si="15"/>
        <v>0</v>
      </c>
      <c r="T109" s="86">
        <f t="shared" si="17"/>
        <v>0</v>
      </c>
      <c r="U109" s="86">
        <f t="shared" si="16"/>
        <v>0</v>
      </c>
      <c r="V109" s="99">
        <f t="shared" si="18"/>
        <v>0</v>
      </c>
    </row>
    <row r="110" spans="1:22" ht="15" x14ac:dyDescent="0.25">
      <c r="A110" s="98">
        <f t="shared" si="19"/>
        <v>108</v>
      </c>
      <c r="B110" s="86"/>
      <c r="C110" s="86"/>
      <c r="D110" s="86"/>
      <c r="E110" s="86">
        <v>1</v>
      </c>
      <c r="F110" s="96" t="s">
        <v>85</v>
      </c>
      <c r="G110" s="86"/>
      <c r="H110" s="86">
        <v>0</v>
      </c>
      <c r="I110" s="86">
        <v>0</v>
      </c>
      <c r="J110" s="86">
        <v>0</v>
      </c>
      <c r="K110" s="86">
        <v>0</v>
      </c>
      <c r="L110" s="86">
        <v>0</v>
      </c>
      <c r="M110" s="86">
        <f>VLOOKUP(F110,'Прайс Лазер'!$L$3:$M$9,2,0)</f>
        <v>94</v>
      </c>
      <c r="N110" s="86">
        <v>25</v>
      </c>
      <c r="O110" s="95">
        <f>VLOOKUP(E110,'Прайс Лазер'!$I$4:$J$21,2,0)</f>
        <v>1.1499999999999999</v>
      </c>
      <c r="P110" s="86">
        <f>HLOOKUP('Оценка лазера'!$E110,'Прайс Лазер'!$C$26:$T$34,1+VLOOKUP(F110,'Прайс Лазер'!$A$26:$B$34,2,0),0)</f>
        <v>21.849999999999998</v>
      </c>
      <c r="Q110" s="86">
        <f t="shared" si="13"/>
        <v>0</v>
      </c>
      <c r="R110" s="86">
        <f t="shared" si="14"/>
        <v>0</v>
      </c>
      <c r="S110" s="86">
        <f t="shared" si="15"/>
        <v>0</v>
      </c>
      <c r="T110" s="86">
        <f t="shared" si="17"/>
        <v>0</v>
      </c>
      <c r="U110" s="86">
        <f t="shared" si="16"/>
        <v>0</v>
      </c>
      <c r="V110" s="99">
        <f t="shared" si="18"/>
        <v>0</v>
      </c>
    </row>
    <row r="111" spans="1:22" ht="15" x14ac:dyDescent="0.25">
      <c r="A111" s="98">
        <f t="shared" si="19"/>
        <v>109</v>
      </c>
      <c r="B111" s="86"/>
      <c r="C111" s="86"/>
      <c r="D111" s="86"/>
      <c r="E111" s="86">
        <v>1</v>
      </c>
      <c r="F111" s="96" t="s">
        <v>85</v>
      </c>
      <c r="G111" s="86"/>
      <c r="H111" s="86">
        <v>0</v>
      </c>
      <c r="I111" s="86">
        <v>0</v>
      </c>
      <c r="J111" s="86">
        <v>0</v>
      </c>
      <c r="K111" s="86">
        <v>0</v>
      </c>
      <c r="L111" s="86">
        <v>0</v>
      </c>
      <c r="M111" s="86">
        <f>VLOOKUP(F111,'Прайс Лазер'!$L$3:$M$9,2,0)</f>
        <v>94</v>
      </c>
      <c r="N111" s="86">
        <v>25</v>
      </c>
      <c r="O111" s="95">
        <f>VLOOKUP(E111,'Прайс Лазер'!$I$4:$J$21,2,0)</f>
        <v>1.1499999999999999</v>
      </c>
      <c r="P111" s="86">
        <f>HLOOKUP('Оценка лазера'!$E111,'Прайс Лазер'!$C$26:$T$34,1+VLOOKUP(F111,'Прайс Лазер'!$A$26:$B$34,2,0),0)</f>
        <v>21.849999999999998</v>
      </c>
      <c r="Q111" s="86">
        <f t="shared" si="13"/>
        <v>0</v>
      </c>
      <c r="R111" s="86">
        <f t="shared" si="14"/>
        <v>0</v>
      </c>
      <c r="S111" s="86">
        <f t="shared" si="15"/>
        <v>0</v>
      </c>
      <c r="T111" s="86">
        <f t="shared" si="17"/>
        <v>0</v>
      </c>
      <c r="U111" s="86">
        <f t="shared" si="16"/>
        <v>0</v>
      </c>
      <c r="V111" s="99">
        <f t="shared" si="18"/>
        <v>0</v>
      </c>
    </row>
    <row r="112" spans="1:22" ht="15" x14ac:dyDescent="0.25">
      <c r="A112" s="98">
        <f t="shared" si="19"/>
        <v>110</v>
      </c>
      <c r="B112" s="86"/>
      <c r="C112" s="86"/>
      <c r="D112" s="86"/>
      <c r="E112" s="86">
        <v>1</v>
      </c>
      <c r="F112" s="96" t="s">
        <v>85</v>
      </c>
      <c r="G112" s="86"/>
      <c r="H112" s="86">
        <v>0</v>
      </c>
      <c r="I112" s="86">
        <v>0</v>
      </c>
      <c r="J112" s="86">
        <v>0</v>
      </c>
      <c r="K112" s="86">
        <v>0</v>
      </c>
      <c r="L112" s="86">
        <v>0</v>
      </c>
      <c r="M112" s="86">
        <f>VLOOKUP(F112,'Прайс Лазер'!$L$3:$M$9,2,0)</f>
        <v>94</v>
      </c>
      <c r="N112" s="86">
        <v>25</v>
      </c>
      <c r="O112" s="95">
        <f>VLOOKUP(E112,'Прайс Лазер'!$I$4:$J$21,2,0)</f>
        <v>1.1499999999999999</v>
      </c>
      <c r="P112" s="86">
        <f>HLOOKUP('Оценка лазера'!$E112,'Прайс Лазер'!$C$26:$T$34,1+VLOOKUP(F112,'Прайс Лазер'!$A$26:$B$34,2,0),0)</f>
        <v>21.849999999999998</v>
      </c>
      <c r="Q112" s="86">
        <f t="shared" si="13"/>
        <v>0</v>
      </c>
      <c r="R112" s="86">
        <f t="shared" si="14"/>
        <v>0</v>
      </c>
      <c r="S112" s="86">
        <f t="shared" si="15"/>
        <v>0</v>
      </c>
      <c r="T112" s="86">
        <f t="shared" si="17"/>
        <v>0</v>
      </c>
      <c r="U112" s="86">
        <f t="shared" si="16"/>
        <v>0</v>
      </c>
      <c r="V112" s="99">
        <f t="shared" si="18"/>
        <v>0</v>
      </c>
    </row>
    <row r="113" spans="1:22" ht="15" x14ac:dyDescent="0.25">
      <c r="A113" s="98">
        <f t="shared" si="19"/>
        <v>111</v>
      </c>
      <c r="B113" s="86"/>
      <c r="C113" s="86"/>
      <c r="D113" s="86"/>
      <c r="E113" s="86">
        <v>1</v>
      </c>
      <c r="F113" s="96" t="s">
        <v>85</v>
      </c>
      <c r="G113" s="86"/>
      <c r="H113" s="86">
        <v>0</v>
      </c>
      <c r="I113" s="86">
        <v>0</v>
      </c>
      <c r="J113" s="86">
        <v>0</v>
      </c>
      <c r="K113" s="86">
        <v>0</v>
      </c>
      <c r="L113" s="86">
        <v>0</v>
      </c>
      <c r="M113" s="86">
        <f>VLOOKUP(F113,'Прайс Лазер'!$L$3:$M$9,2,0)</f>
        <v>94</v>
      </c>
      <c r="N113" s="86">
        <v>25</v>
      </c>
      <c r="O113" s="95">
        <f>VLOOKUP(E113,'Прайс Лазер'!$I$4:$J$21,2,0)</f>
        <v>1.1499999999999999</v>
      </c>
      <c r="P113" s="86">
        <f>HLOOKUP('Оценка лазера'!$E113,'Прайс Лазер'!$C$26:$T$34,1+VLOOKUP(F113,'Прайс Лазер'!$A$26:$B$34,2,0),0)</f>
        <v>21.849999999999998</v>
      </c>
      <c r="Q113" s="86">
        <f t="shared" si="13"/>
        <v>0</v>
      </c>
      <c r="R113" s="86">
        <f t="shared" si="14"/>
        <v>0</v>
      </c>
      <c r="S113" s="86">
        <f t="shared" si="15"/>
        <v>0</v>
      </c>
      <c r="T113" s="86">
        <f t="shared" si="17"/>
        <v>0</v>
      </c>
      <c r="U113" s="86">
        <f t="shared" si="16"/>
        <v>0</v>
      </c>
      <c r="V113" s="99">
        <f t="shared" si="18"/>
        <v>0</v>
      </c>
    </row>
    <row r="114" spans="1:22" ht="15" x14ac:dyDescent="0.25">
      <c r="A114" s="98">
        <f t="shared" si="19"/>
        <v>112</v>
      </c>
      <c r="B114" s="86"/>
      <c r="C114" s="86"/>
      <c r="D114" s="86"/>
      <c r="E114" s="86">
        <v>1</v>
      </c>
      <c r="F114" s="96" t="s">
        <v>85</v>
      </c>
      <c r="G114" s="86"/>
      <c r="H114" s="86">
        <v>0</v>
      </c>
      <c r="I114" s="86">
        <v>0</v>
      </c>
      <c r="J114" s="86">
        <v>0</v>
      </c>
      <c r="K114" s="86">
        <v>0</v>
      </c>
      <c r="L114" s="86">
        <v>0</v>
      </c>
      <c r="M114" s="86">
        <f>VLOOKUP(F114,'Прайс Лазер'!$L$3:$M$9,2,0)</f>
        <v>94</v>
      </c>
      <c r="N114" s="86">
        <v>25</v>
      </c>
      <c r="O114" s="95">
        <f>VLOOKUP(E114,'Прайс Лазер'!$I$4:$J$21,2,0)</f>
        <v>1.1499999999999999</v>
      </c>
      <c r="P114" s="86">
        <f>HLOOKUP('Оценка лазера'!$E114,'Прайс Лазер'!$C$26:$T$34,1+VLOOKUP(F114,'Прайс Лазер'!$A$26:$B$34,2,0),0)</f>
        <v>21.849999999999998</v>
      </c>
      <c r="Q114" s="86">
        <f t="shared" si="13"/>
        <v>0</v>
      </c>
      <c r="R114" s="86">
        <f t="shared" si="14"/>
        <v>0</v>
      </c>
      <c r="S114" s="86">
        <f t="shared" si="15"/>
        <v>0</v>
      </c>
      <c r="T114" s="86">
        <f t="shared" si="17"/>
        <v>0</v>
      </c>
      <c r="U114" s="86">
        <f t="shared" si="16"/>
        <v>0</v>
      </c>
      <c r="V114" s="99">
        <f t="shared" si="18"/>
        <v>0</v>
      </c>
    </row>
    <row r="115" spans="1:22" ht="15" x14ac:dyDescent="0.25">
      <c r="A115" s="98">
        <f t="shared" si="19"/>
        <v>113</v>
      </c>
      <c r="B115" s="86"/>
      <c r="C115" s="86"/>
      <c r="D115" s="86"/>
      <c r="E115" s="86">
        <v>1</v>
      </c>
      <c r="F115" s="96" t="s">
        <v>85</v>
      </c>
      <c r="G115" s="86"/>
      <c r="H115" s="86">
        <v>0</v>
      </c>
      <c r="I115" s="86">
        <v>0</v>
      </c>
      <c r="J115" s="86">
        <v>0</v>
      </c>
      <c r="K115" s="86">
        <v>0</v>
      </c>
      <c r="L115" s="86">
        <v>0</v>
      </c>
      <c r="M115" s="86">
        <f>VLOOKUP(F115,'Прайс Лазер'!$L$3:$M$9,2,0)</f>
        <v>94</v>
      </c>
      <c r="N115" s="86">
        <v>25</v>
      </c>
      <c r="O115" s="95">
        <f>VLOOKUP(E115,'Прайс Лазер'!$I$4:$J$21,2,0)</f>
        <v>1.1499999999999999</v>
      </c>
      <c r="P115" s="86">
        <f>HLOOKUP('Оценка лазера'!$E115,'Прайс Лазер'!$C$26:$T$34,1+VLOOKUP(F115,'Прайс Лазер'!$A$26:$B$34,2,0),0)</f>
        <v>21.849999999999998</v>
      </c>
      <c r="Q115" s="86">
        <f t="shared" si="13"/>
        <v>0</v>
      </c>
      <c r="R115" s="86">
        <f t="shared" si="14"/>
        <v>0</v>
      </c>
      <c r="S115" s="86">
        <f t="shared" si="15"/>
        <v>0</v>
      </c>
      <c r="T115" s="86">
        <f t="shared" si="17"/>
        <v>0</v>
      </c>
      <c r="U115" s="86">
        <f t="shared" si="16"/>
        <v>0</v>
      </c>
      <c r="V115" s="99">
        <f t="shared" si="18"/>
        <v>0</v>
      </c>
    </row>
    <row r="116" spans="1:22" ht="15" x14ac:dyDescent="0.25">
      <c r="A116" s="98">
        <f t="shared" si="19"/>
        <v>114</v>
      </c>
      <c r="B116" s="86"/>
      <c r="C116" s="86"/>
      <c r="D116" s="86"/>
      <c r="E116" s="86">
        <v>1</v>
      </c>
      <c r="F116" s="96" t="s">
        <v>85</v>
      </c>
      <c r="G116" s="86"/>
      <c r="H116" s="86">
        <v>0</v>
      </c>
      <c r="I116" s="86">
        <v>0</v>
      </c>
      <c r="J116" s="86">
        <v>0</v>
      </c>
      <c r="K116" s="86">
        <v>0</v>
      </c>
      <c r="L116" s="86">
        <v>0</v>
      </c>
      <c r="M116" s="86">
        <f>VLOOKUP(F116,'Прайс Лазер'!$L$3:$M$9,2,0)</f>
        <v>94</v>
      </c>
      <c r="N116" s="86">
        <v>25</v>
      </c>
      <c r="O116" s="95">
        <f>VLOOKUP(E116,'Прайс Лазер'!$I$4:$J$21,2,0)</f>
        <v>1.1499999999999999</v>
      </c>
      <c r="P116" s="86">
        <f>HLOOKUP('Оценка лазера'!$E116,'Прайс Лазер'!$C$26:$T$34,1+VLOOKUP(F116,'Прайс Лазер'!$A$26:$B$34,2,0),0)</f>
        <v>21.849999999999998</v>
      </c>
      <c r="Q116" s="86">
        <f t="shared" si="13"/>
        <v>0</v>
      </c>
      <c r="R116" s="86">
        <f t="shared" si="14"/>
        <v>0</v>
      </c>
      <c r="S116" s="86">
        <f t="shared" si="15"/>
        <v>0</v>
      </c>
      <c r="T116" s="86">
        <f t="shared" si="17"/>
        <v>0</v>
      </c>
      <c r="U116" s="86">
        <f t="shared" si="16"/>
        <v>0</v>
      </c>
      <c r="V116" s="99">
        <f t="shared" si="18"/>
        <v>0</v>
      </c>
    </row>
    <row r="117" spans="1:22" ht="15" x14ac:dyDescent="0.25">
      <c r="A117" s="98">
        <f t="shared" si="19"/>
        <v>115</v>
      </c>
      <c r="B117" s="86"/>
      <c r="C117" s="86"/>
      <c r="D117" s="86"/>
      <c r="E117" s="86">
        <v>1</v>
      </c>
      <c r="F117" s="96" t="s">
        <v>85</v>
      </c>
      <c r="G117" s="86"/>
      <c r="H117" s="86">
        <v>0</v>
      </c>
      <c r="I117" s="86">
        <v>0</v>
      </c>
      <c r="J117" s="86">
        <v>0</v>
      </c>
      <c r="K117" s="86">
        <v>0</v>
      </c>
      <c r="L117" s="86">
        <v>0</v>
      </c>
      <c r="M117" s="86">
        <f>VLOOKUP(F117,'Прайс Лазер'!$L$3:$M$9,2,0)</f>
        <v>94</v>
      </c>
      <c r="N117" s="86">
        <v>25</v>
      </c>
      <c r="O117" s="95">
        <f>VLOOKUP(E117,'Прайс Лазер'!$I$4:$J$21,2,0)</f>
        <v>1.1499999999999999</v>
      </c>
      <c r="P117" s="86">
        <f>HLOOKUP('Оценка лазера'!$E117,'Прайс Лазер'!$C$26:$T$34,1+VLOOKUP(F117,'Прайс Лазер'!$A$26:$B$34,2,0),0)</f>
        <v>21.849999999999998</v>
      </c>
      <c r="Q117" s="86">
        <f t="shared" si="13"/>
        <v>0</v>
      </c>
      <c r="R117" s="86">
        <f t="shared" si="14"/>
        <v>0</v>
      </c>
      <c r="S117" s="86">
        <f t="shared" si="15"/>
        <v>0</v>
      </c>
      <c r="T117" s="86">
        <f t="shared" si="17"/>
        <v>0</v>
      </c>
      <c r="U117" s="86">
        <f t="shared" si="16"/>
        <v>0</v>
      </c>
      <c r="V117" s="99">
        <f t="shared" si="18"/>
        <v>0</v>
      </c>
    </row>
    <row r="118" spans="1:22" ht="15" x14ac:dyDescent="0.25">
      <c r="A118" s="98">
        <f t="shared" si="19"/>
        <v>116</v>
      </c>
      <c r="B118" s="86"/>
      <c r="C118" s="86"/>
      <c r="D118" s="86"/>
      <c r="E118" s="86">
        <v>1</v>
      </c>
      <c r="F118" s="96" t="s">
        <v>85</v>
      </c>
      <c r="G118" s="86"/>
      <c r="H118" s="86">
        <v>0</v>
      </c>
      <c r="I118" s="86">
        <v>0</v>
      </c>
      <c r="J118" s="86">
        <v>0</v>
      </c>
      <c r="K118" s="86">
        <v>0</v>
      </c>
      <c r="L118" s="86">
        <v>0</v>
      </c>
      <c r="M118" s="86">
        <f>VLOOKUP(F118,'Прайс Лазер'!$L$3:$M$9,2,0)</f>
        <v>94</v>
      </c>
      <c r="N118" s="86">
        <v>25</v>
      </c>
      <c r="O118" s="95">
        <f>VLOOKUP(E118,'Прайс Лазер'!$I$4:$J$21,2,0)</f>
        <v>1.1499999999999999</v>
      </c>
      <c r="P118" s="86">
        <f>HLOOKUP('Оценка лазера'!$E118,'Прайс Лазер'!$C$26:$T$34,1+VLOOKUP(F118,'Прайс Лазер'!$A$26:$B$34,2,0),0)</f>
        <v>21.849999999999998</v>
      </c>
      <c r="Q118" s="86">
        <f t="shared" si="13"/>
        <v>0</v>
      </c>
      <c r="R118" s="86">
        <f t="shared" si="14"/>
        <v>0</v>
      </c>
      <c r="S118" s="86">
        <f t="shared" si="15"/>
        <v>0</v>
      </c>
      <c r="T118" s="86">
        <f t="shared" si="17"/>
        <v>0</v>
      </c>
      <c r="U118" s="86">
        <f t="shared" si="16"/>
        <v>0</v>
      </c>
      <c r="V118" s="99">
        <f t="shared" si="18"/>
        <v>0</v>
      </c>
    </row>
    <row r="119" spans="1:22" ht="15" x14ac:dyDescent="0.25">
      <c r="A119" s="98">
        <f t="shared" si="19"/>
        <v>117</v>
      </c>
      <c r="B119" s="86"/>
      <c r="C119" s="86"/>
      <c r="D119" s="86"/>
      <c r="E119" s="86">
        <v>1</v>
      </c>
      <c r="F119" s="96" t="s">
        <v>85</v>
      </c>
      <c r="G119" s="86"/>
      <c r="H119" s="86">
        <v>0</v>
      </c>
      <c r="I119" s="86">
        <v>0</v>
      </c>
      <c r="J119" s="86">
        <v>0</v>
      </c>
      <c r="K119" s="86">
        <v>0</v>
      </c>
      <c r="L119" s="86">
        <v>0</v>
      </c>
      <c r="M119" s="86">
        <f>VLOOKUP(F119,'Прайс Лазер'!$L$3:$M$9,2,0)</f>
        <v>94</v>
      </c>
      <c r="N119" s="86">
        <v>25</v>
      </c>
      <c r="O119" s="95">
        <f>VLOOKUP(E119,'Прайс Лазер'!$I$4:$J$21,2,0)</f>
        <v>1.1499999999999999</v>
      </c>
      <c r="P119" s="86">
        <f>HLOOKUP('Оценка лазера'!$E119,'Прайс Лазер'!$C$26:$T$34,1+VLOOKUP(F119,'Прайс Лазер'!$A$26:$B$34,2,0),0)</f>
        <v>21.849999999999998</v>
      </c>
      <c r="Q119" s="86">
        <f t="shared" si="13"/>
        <v>0</v>
      </c>
      <c r="R119" s="86">
        <f t="shared" si="14"/>
        <v>0</v>
      </c>
      <c r="S119" s="86">
        <f t="shared" si="15"/>
        <v>0</v>
      </c>
      <c r="T119" s="86">
        <f t="shared" si="17"/>
        <v>0</v>
      </c>
      <c r="U119" s="86">
        <f t="shared" si="16"/>
        <v>0</v>
      </c>
      <c r="V119" s="99">
        <f t="shared" si="18"/>
        <v>0</v>
      </c>
    </row>
    <row r="120" spans="1:22" ht="15" x14ac:dyDescent="0.25">
      <c r="A120" s="98">
        <f t="shared" si="19"/>
        <v>118</v>
      </c>
      <c r="B120" s="86"/>
      <c r="C120" s="86"/>
      <c r="D120" s="86"/>
      <c r="E120" s="86">
        <v>1</v>
      </c>
      <c r="F120" s="96" t="s">
        <v>85</v>
      </c>
      <c r="G120" s="86"/>
      <c r="H120" s="86">
        <v>0</v>
      </c>
      <c r="I120" s="86">
        <v>0</v>
      </c>
      <c r="J120" s="86">
        <v>0</v>
      </c>
      <c r="K120" s="86">
        <v>0</v>
      </c>
      <c r="L120" s="86">
        <v>0</v>
      </c>
      <c r="M120" s="86">
        <f>VLOOKUP(F120,'Прайс Лазер'!$L$3:$M$9,2,0)</f>
        <v>94</v>
      </c>
      <c r="N120" s="86">
        <v>25</v>
      </c>
      <c r="O120" s="95">
        <f>VLOOKUP(E120,'Прайс Лазер'!$I$4:$J$21,2,0)</f>
        <v>1.1499999999999999</v>
      </c>
      <c r="P120" s="86">
        <f>HLOOKUP('Оценка лазера'!$E120,'Прайс Лазер'!$C$26:$T$34,1+VLOOKUP(F120,'Прайс Лазер'!$A$26:$B$34,2,0),0)</f>
        <v>21.849999999999998</v>
      </c>
      <c r="Q120" s="86">
        <f t="shared" si="13"/>
        <v>0</v>
      </c>
      <c r="R120" s="86">
        <f t="shared" si="14"/>
        <v>0</v>
      </c>
      <c r="S120" s="86">
        <f t="shared" si="15"/>
        <v>0</v>
      </c>
      <c r="T120" s="86">
        <f t="shared" si="17"/>
        <v>0</v>
      </c>
      <c r="U120" s="86">
        <f t="shared" si="16"/>
        <v>0</v>
      </c>
      <c r="V120" s="99">
        <f t="shared" si="18"/>
        <v>0</v>
      </c>
    </row>
    <row r="121" spans="1:22" ht="15" x14ac:dyDescent="0.25">
      <c r="A121" s="98">
        <f t="shared" si="19"/>
        <v>119</v>
      </c>
      <c r="B121" s="86"/>
      <c r="C121" s="86"/>
      <c r="D121" s="86"/>
      <c r="E121" s="86">
        <v>1</v>
      </c>
      <c r="F121" s="96" t="s">
        <v>85</v>
      </c>
      <c r="G121" s="86"/>
      <c r="H121" s="86">
        <v>0</v>
      </c>
      <c r="I121" s="86">
        <v>0</v>
      </c>
      <c r="J121" s="86">
        <v>0</v>
      </c>
      <c r="K121" s="86">
        <v>0</v>
      </c>
      <c r="L121" s="86">
        <v>0</v>
      </c>
      <c r="M121" s="86">
        <f>VLOOKUP(F121,'Прайс Лазер'!$L$3:$M$9,2,0)</f>
        <v>94</v>
      </c>
      <c r="N121" s="86">
        <v>25</v>
      </c>
      <c r="O121" s="95">
        <f>VLOOKUP(E121,'Прайс Лазер'!$I$4:$J$21,2,0)</f>
        <v>1.1499999999999999</v>
      </c>
      <c r="P121" s="86">
        <f>HLOOKUP('Оценка лазера'!$E121,'Прайс Лазер'!$C$26:$T$34,1+VLOOKUP(F121,'Прайс Лазер'!$A$26:$B$34,2,0),0)</f>
        <v>21.849999999999998</v>
      </c>
      <c r="Q121" s="86">
        <f t="shared" si="13"/>
        <v>0</v>
      </c>
      <c r="R121" s="86">
        <f t="shared" si="14"/>
        <v>0</v>
      </c>
      <c r="S121" s="86">
        <f t="shared" si="15"/>
        <v>0</v>
      </c>
      <c r="T121" s="86">
        <f t="shared" si="17"/>
        <v>0</v>
      </c>
      <c r="U121" s="86">
        <f t="shared" si="16"/>
        <v>0</v>
      </c>
      <c r="V121" s="99">
        <f t="shared" si="18"/>
        <v>0</v>
      </c>
    </row>
    <row r="122" spans="1:22" ht="15" x14ac:dyDescent="0.25">
      <c r="A122" s="98">
        <f t="shared" si="19"/>
        <v>120</v>
      </c>
      <c r="B122" s="86"/>
      <c r="C122" s="86"/>
      <c r="D122" s="86"/>
      <c r="E122" s="86">
        <v>1</v>
      </c>
      <c r="F122" s="96" t="s">
        <v>85</v>
      </c>
      <c r="G122" s="86"/>
      <c r="H122" s="86">
        <v>0</v>
      </c>
      <c r="I122" s="86">
        <v>0</v>
      </c>
      <c r="J122" s="86">
        <v>0</v>
      </c>
      <c r="K122" s="86">
        <v>0</v>
      </c>
      <c r="L122" s="86">
        <v>0</v>
      </c>
      <c r="M122" s="86">
        <f>VLOOKUP(F122,'Прайс Лазер'!$L$3:$M$9,2,0)</f>
        <v>94</v>
      </c>
      <c r="N122" s="86">
        <v>25</v>
      </c>
      <c r="O122" s="95">
        <f>VLOOKUP(E122,'Прайс Лазер'!$I$4:$J$21,2,0)</f>
        <v>1.1499999999999999</v>
      </c>
      <c r="P122" s="86">
        <f>HLOOKUP('Оценка лазера'!$E122,'Прайс Лазер'!$C$26:$T$34,1+VLOOKUP(F122,'Прайс Лазер'!$A$26:$B$34,2,0),0)</f>
        <v>21.849999999999998</v>
      </c>
      <c r="Q122" s="86">
        <f t="shared" si="13"/>
        <v>0</v>
      </c>
      <c r="R122" s="86">
        <f t="shared" si="14"/>
        <v>0</v>
      </c>
      <c r="S122" s="86">
        <f t="shared" si="15"/>
        <v>0</v>
      </c>
      <c r="T122" s="86">
        <f t="shared" si="17"/>
        <v>0</v>
      </c>
      <c r="U122" s="86">
        <f t="shared" si="16"/>
        <v>0</v>
      </c>
      <c r="V122" s="99">
        <f t="shared" si="18"/>
        <v>0</v>
      </c>
    </row>
    <row r="123" spans="1:22" ht="15" x14ac:dyDescent="0.25">
      <c r="A123" s="98">
        <f t="shared" si="19"/>
        <v>121</v>
      </c>
      <c r="B123" s="86"/>
      <c r="C123" s="86"/>
      <c r="D123" s="86"/>
      <c r="E123" s="86">
        <v>1</v>
      </c>
      <c r="F123" s="96" t="s">
        <v>85</v>
      </c>
      <c r="G123" s="86"/>
      <c r="H123" s="86">
        <v>0</v>
      </c>
      <c r="I123" s="86">
        <v>0</v>
      </c>
      <c r="J123" s="86">
        <v>0</v>
      </c>
      <c r="K123" s="86">
        <v>0</v>
      </c>
      <c r="L123" s="86">
        <v>0</v>
      </c>
      <c r="M123" s="86">
        <f>VLOOKUP(F123,'Прайс Лазер'!$L$3:$M$9,2,0)</f>
        <v>94</v>
      </c>
      <c r="N123" s="86">
        <v>25</v>
      </c>
      <c r="O123" s="95">
        <f>VLOOKUP(E123,'Прайс Лазер'!$I$4:$J$21,2,0)</f>
        <v>1.1499999999999999</v>
      </c>
      <c r="P123" s="86">
        <f>HLOOKUP('Оценка лазера'!$E123,'Прайс Лазер'!$C$26:$T$34,1+VLOOKUP(F123,'Прайс Лазер'!$A$26:$B$34,2,0),0)</f>
        <v>21.849999999999998</v>
      </c>
      <c r="Q123" s="86">
        <f t="shared" si="13"/>
        <v>0</v>
      </c>
      <c r="R123" s="86">
        <f t="shared" si="14"/>
        <v>0</v>
      </c>
      <c r="S123" s="86">
        <f t="shared" si="15"/>
        <v>0</v>
      </c>
      <c r="T123" s="86">
        <f t="shared" si="17"/>
        <v>0</v>
      </c>
      <c r="U123" s="86">
        <f t="shared" si="16"/>
        <v>0</v>
      </c>
      <c r="V123" s="99">
        <f t="shared" si="18"/>
        <v>0</v>
      </c>
    </row>
    <row r="124" spans="1:22" ht="15" x14ac:dyDescent="0.25">
      <c r="A124" s="98">
        <f t="shared" si="19"/>
        <v>122</v>
      </c>
      <c r="B124" s="86"/>
      <c r="C124" s="86"/>
      <c r="D124" s="86"/>
      <c r="E124" s="86">
        <v>1</v>
      </c>
      <c r="F124" s="96" t="s">
        <v>85</v>
      </c>
      <c r="G124" s="86"/>
      <c r="H124" s="86">
        <v>0</v>
      </c>
      <c r="I124" s="86">
        <v>0</v>
      </c>
      <c r="J124" s="86">
        <v>0</v>
      </c>
      <c r="K124" s="86">
        <v>0</v>
      </c>
      <c r="L124" s="86">
        <v>0</v>
      </c>
      <c r="M124" s="86">
        <f>VLOOKUP(F124,'Прайс Лазер'!$L$3:$M$9,2,0)</f>
        <v>94</v>
      </c>
      <c r="N124" s="86">
        <v>25</v>
      </c>
      <c r="O124" s="95">
        <f>VLOOKUP(E124,'Прайс Лазер'!$I$4:$J$21,2,0)</f>
        <v>1.1499999999999999</v>
      </c>
      <c r="P124" s="86">
        <f>HLOOKUP('Оценка лазера'!$E124,'Прайс Лазер'!$C$26:$T$34,1+VLOOKUP(F124,'Прайс Лазер'!$A$26:$B$34,2,0),0)</f>
        <v>21.849999999999998</v>
      </c>
      <c r="Q124" s="86">
        <f t="shared" si="13"/>
        <v>0</v>
      </c>
      <c r="R124" s="86">
        <f t="shared" si="14"/>
        <v>0</v>
      </c>
      <c r="S124" s="86">
        <f t="shared" si="15"/>
        <v>0</v>
      </c>
      <c r="T124" s="86">
        <f t="shared" si="17"/>
        <v>0</v>
      </c>
      <c r="U124" s="86">
        <f t="shared" si="16"/>
        <v>0</v>
      </c>
      <c r="V124" s="99">
        <f t="shared" si="18"/>
        <v>0</v>
      </c>
    </row>
    <row r="125" spans="1:22" ht="15" x14ac:dyDescent="0.25">
      <c r="A125" s="98">
        <f t="shared" si="19"/>
        <v>123</v>
      </c>
      <c r="B125" s="86"/>
      <c r="C125" s="86"/>
      <c r="D125" s="86"/>
      <c r="E125" s="86">
        <v>1</v>
      </c>
      <c r="F125" s="96" t="s">
        <v>85</v>
      </c>
      <c r="G125" s="86"/>
      <c r="H125" s="86">
        <v>0</v>
      </c>
      <c r="I125" s="86">
        <v>0</v>
      </c>
      <c r="J125" s="86">
        <v>0</v>
      </c>
      <c r="K125" s="86">
        <v>0</v>
      </c>
      <c r="L125" s="86">
        <v>0</v>
      </c>
      <c r="M125" s="86">
        <f>VLOOKUP(F125,'Прайс Лазер'!$L$3:$M$9,2,0)</f>
        <v>94</v>
      </c>
      <c r="N125" s="86">
        <v>25</v>
      </c>
      <c r="O125" s="95">
        <f>VLOOKUP(E125,'Прайс Лазер'!$I$4:$J$21,2,0)</f>
        <v>1.1499999999999999</v>
      </c>
      <c r="P125" s="86">
        <f>HLOOKUP('Оценка лазера'!$E125,'Прайс Лазер'!$C$26:$T$34,1+VLOOKUP(F125,'Прайс Лазер'!$A$26:$B$34,2,0),0)</f>
        <v>21.849999999999998</v>
      </c>
      <c r="Q125" s="86">
        <f t="shared" si="13"/>
        <v>0</v>
      </c>
      <c r="R125" s="86">
        <f t="shared" si="14"/>
        <v>0</v>
      </c>
      <c r="S125" s="86">
        <f t="shared" si="15"/>
        <v>0</v>
      </c>
      <c r="T125" s="86">
        <f t="shared" si="17"/>
        <v>0</v>
      </c>
      <c r="U125" s="86">
        <f t="shared" si="16"/>
        <v>0</v>
      </c>
      <c r="V125" s="99">
        <f t="shared" si="18"/>
        <v>0</v>
      </c>
    </row>
    <row r="126" spans="1:22" ht="15" x14ac:dyDescent="0.25">
      <c r="A126" s="98">
        <f t="shared" si="19"/>
        <v>124</v>
      </c>
      <c r="B126" s="86"/>
      <c r="C126" s="86"/>
      <c r="D126" s="86"/>
      <c r="E126" s="86">
        <v>1</v>
      </c>
      <c r="F126" s="96" t="s">
        <v>85</v>
      </c>
      <c r="G126" s="86"/>
      <c r="H126" s="86">
        <v>0</v>
      </c>
      <c r="I126" s="86">
        <v>0</v>
      </c>
      <c r="J126" s="86">
        <v>0</v>
      </c>
      <c r="K126" s="86">
        <v>0</v>
      </c>
      <c r="L126" s="86">
        <v>0</v>
      </c>
      <c r="M126" s="86">
        <f>VLOOKUP(F126,'Прайс Лазер'!$L$3:$M$9,2,0)</f>
        <v>94</v>
      </c>
      <c r="N126" s="86">
        <v>25</v>
      </c>
      <c r="O126" s="95">
        <f>VLOOKUP(E126,'Прайс Лазер'!$I$4:$J$21,2,0)</f>
        <v>1.1499999999999999</v>
      </c>
      <c r="P126" s="86">
        <f>HLOOKUP('Оценка лазера'!$E126,'Прайс Лазер'!$C$26:$T$34,1+VLOOKUP(F126,'Прайс Лазер'!$A$26:$B$34,2,0),0)</f>
        <v>21.849999999999998</v>
      </c>
      <c r="Q126" s="86">
        <f t="shared" si="13"/>
        <v>0</v>
      </c>
      <c r="R126" s="86">
        <f t="shared" si="14"/>
        <v>0</v>
      </c>
      <c r="S126" s="86">
        <f t="shared" si="15"/>
        <v>0</v>
      </c>
      <c r="T126" s="86">
        <f t="shared" si="17"/>
        <v>0</v>
      </c>
      <c r="U126" s="86">
        <f t="shared" si="16"/>
        <v>0</v>
      </c>
      <c r="V126" s="99">
        <f t="shared" si="18"/>
        <v>0</v>
      </c>
    </row>
    <row r="127" spans="1:22" ht="15" x14ac:dyDescent="0.25">
      <c r="A127" s="98">
        <f t="shared" si="19"/>
        <v>125</v>
      </c>
      <c r="B127" s="86"/>
      <c r="C127" s="86"/>
      <c r="D127" s="86"/>
      <c r="E127" s="86">
        <v>1</v>
      </c>
      <c r="F127" s="96" t="s">
        <v>85</v>
      </c>
      <c r="G127" s="86"/>
      <c r="H127" s="86">
        <v>0</v>
      </c>
      <c r="I127" s="86">
        <v>0</v>
      </c>
      <c r="J127" s="86">
        <v>0</v>
      </c>
      <c r="K127" s="86">
        <v>0</v>
      </c>
      <c r="L127" s="86">
        <v>0</v>
      </c>
      <c r="M127" s="86">
        <f>VLOOKUP(F127,'Прайс Лазер'!$L$3:$M$9,2,0)</f>
        <v>94</v>
      </c>
      <c r="N127" s="86">
        <v>25</v>
      </c>
      <c r="O127" s="95">
        <f>VLOOKUP(E127,'Прайс Лазер'!$I$4:$J$21,2,0)</f>
        <v>1.1499999999999999</v>
      </c>
      <c r="P127" s="86">
        <f>HLOOKUP('Оценка лазера'!$E127,'Прайс Лазер'!$C$26:$T$34,1+VLOOKUP(F127,'Прайс Лазер'!$A$26:$B$34,2,0),0)</f>
        <v>21.849999999999998</v>
      </c>
      <c r="Q127" s="86">
        <f t="shared" si="13"/>
        <v>0</v>
      </c>
      <c r="R127" s="86">
        <f t="shared" si="14"/>
        <v>0</v>
      </c>
      <c r="S127" s="86">
        <f t="shared" si="15"/>
        <v>0</v>
      </c>
      <c r="T127" s="86">
        <f t="shared" si="17"/>
        <v>0</v>
      </c>
      <c r="U127" s="86">
        <f t="shared" si="16"/>
        <v>0</v>
      </c>
      <c r="V127" s="99">
        <f t="shared" si="18"/>
        <v>0</v>
      </c>
    </row>
    <row r="128" spans="1:22" ht="15" x14ac:dyDescent="0.25">
      <c r="A128" s="98">
        <f t="shared" si="19"/>
        <v>126</v>
      </c>
      <c r="B128" s="86"/>
      <c r="C128" s="86"/>
      <c r="D128" s="86"/>
      <c r="E128" s="86">
        <v>1</v>
      </c>
      <c r="F128" s="96" t="s">
        <v>85</v>
      </c>
      <c r="G128" s="86"/>
      <c r="H128" s="86">
        <v>0</v>
      </c>
      <c r="I128" s="86">
        <v>0</v>
      </c>
      <c r="J128" s="86">
        <v>0</v>
      </c>
      <c r="K128" s="86">
        <v>0</v>
      </c>
      <c r="L128" s="86">
        <v>0</v>
      </c>
      <c r="M128" s="86">
        <f>VLOOKUP(F128,'Прайс Лазер'!$L$3:$M$9,2,0)</f>
        <v>94</v>
      </c>
      <c r="N128" s="86">
        <v>25</v>
      </c>
      <c r="O128" s="95">
        <f>VLOOKUP(E128,'Прайс Лазер'!$I$4:$J$21,2,0)</f>
        <v>1.1499999999999999</v>
      </c>
      <c r="P128" s="86">
        <f>HLOOKUP('Оценка лазера'!$E128,'Прайс Лазер'!$C$26:$T$34,1+VLOOKUP(F128,'Прайс Лазер'!$A$26:$B$34,2,0),0)</f>
        <v>21.849999999999998</v>
      </c>
      <c r="Q128" s="86">
        <f t="shared" si="13"/>
        <v>0</v>
      </c>
      <c r="R128" s="86">
        <f t="shared" si="14"/>
        <v>0</v>
      </c>
      <c r="S128" s="86">
        <f t="shared" si="15"/>
        <v>0</v>
      </c>
      <c r="T128" s="86">
        <f t="shared" si="17"/>
        <v>0</v>
      </c>
      <c r="U128" s="86">
        <f t="shared" si="16"/>
        <v>0</v>
      </c>
      <c r="V128" s="99">
        <f t="shared" si="18"/>
        <v>0</v>
      </c>
    </row>
    <row r="129" spans="1:22" ht="15" x14ac:dyDescent="0.25">
      <c r="A129" s="98">
        <f t="shared" si="19"/>
        <v>127</v>
      </c>
      <c r="B129" s="86"/>
      <c r="C129" s="86"/>
      <c r="D129" s="86"/>
      <c r="E129" s="86">
        <v>1</v>
      </c>
      <c r="F129" s="96" t="s">
        <v>85</v>
      </c>
      <c r="G129" s="86"/>
      <c r="H129" s="86">
        <v>0</v>
      </c>
      <c r="I129" s="86">
        <v>0</v>
      </c>
      <c r="J129" s="86">
        <v>0</v>
      </c>
      <c r="K129" s="86">
        <v>0</v>
      </c>
      <c r="L129" s="86">
        <v>0</v>
      </c>
      <c r="M129" s="86">
        <f>VLOOKUP(F129,'Прайс Лазер'!$L$3:$M$9,2,0)</f>
        <v>94</v>
      </c>
      <c r="N129" s="86">
        <v>25</v>
      </c>
      <c r="O129" s="95">
        <f>VLOOKUP(E129,'Прайс Лазер'!$I$4:$J$21,2,0)</f>
        <v>1.1499999999999999</v>
      </c>
      <c r="P129" s="86">
        <f>HLOOKUP('Оценка лазера'!$E129,'Прайс Лазер'!$C$26:$T$34,1+VLOOKUP(F129,'Прайс Лазер'!$A$26:$B$34,2,0),0)</f>
        <v>21.849999999999998</v>
      </c>
      <c r="Q129" s="86">
        <f t="shared" si="13"/>
        <v>0</v>
      </c>
      <c r="R129" s="86">
        <f t="shared" si="14"/>
        <v>0</v>
      </c>
      <c r="S129" s="86">
        <f t="shared" si="15"/>
        <v>0</v>
      </c>
      <c r="T129" s="86">
        <f t="shared" si="17"/>
        <v>0</v>
      </c>
      <c r="U129" s="86">
        <f t="shared" si="16"/>
        <v>0</v>
      </c>
      <c r="V129" s="99">
        <f t="shared" si="18"/>
        <v>0</v>
      </c>
    </row>
    <row r="130" spans="1:22" ht="15" x14ac:dyDescent="0.25">
      <c r="A130" s="98">
        <f t="shared" si="19"/>
        <v>128</v>
      </c>
      <c r="B130" s="86"/>
      <c r="C130" s="86"/>
      <c r="D130" s="86"/>
      <c r="E130" s="86">
        <v>1</v>
      </c>
      <c r="F130" s="96" t="s">
        <v>85</v>
      </c>
      <c r="G130" s="86"/>
      <c r="H130" s="86">
        <v>0</v>
      </c>
      <c r="I130" s="86">
        <v>0</v>
      </c>
      <c r="J130" s="86">
        <v>0</v>
      </c>
      <c r="K130" s="86">
        <v>0</v>
      </c>
      <c r="L130" s="86">
        <v>0</v>
      </c>
      <c r="M130" s="86">
        <f>VLOOKUP(F130,'Прайс Лазер'!$L$3:$M$9,2,0)</f>
        <v>94</v>
      </c>
      <c r="N130" s="86">
        <v>25</v>
      </c>
      <c r="O130" s="95">
        <f>VLOOKUP(E130,'Прайс Лазер'!$I$4:$J$21,2,0)</f>
        <v>1.1499999999999999</v>
      </c>
      <c r="P130" s="86">
        <f>HLOOKUP('Оценка лазера'!$E130,'Прайс Лазер'!$C$26:$T$34,1+VLOOKUP(F130,'Прайс Лазер'!$A$26:$B$34,2,0),0)</f>
        <v>21.849999999999998</v>
      </c>
      <c r="Q130" s="86">
        <f t="shared" si="13"/>
        <v>0</v>
      </c>
      <c r="R130" s="86">
        <f t="shared" si="14"/>
        <v>0</v>
      </c>
      <c r="S130" s="86">
        <f t="shared" si="15"/>
        <v>0</v>
      </c>
      <c r="T130" s="86">
        <f t="shared" si="17"/>
        <v>0</v>
      </c>
      <c r="U130" s="86">
        <f t="shared" si="16"/>
        <v>0</v>
      </c>
      <c r="V130" s="99">
        <f t="shared" si="18"/>
        <v>0</v>
      </c>
    </row>
    <row r="131" spans="1:22" ht="15" x14ac:dyDescent="0.25">
      <c r="A131" s="98">
        <f t="shared" si="19"/>
        <v>129</v>
      </c>
      <c r="B131" s="86"/>
      <c r="C131" s="86"/>
      <c r="D131" s="86"/>
      <c r="E131" s="86">
        <v>1</v>
      </c>
      <c r="F131" s="96" t="s">
        <v>85</v>
      </c>
      <c r="G131" s="86"/>
      <c r="H131" s="86">
        <v>0</v>
      </c>
      <c r="I131" s="86">
        <v>0</v>
      </c>
      <c r="J131" s="86">
        <v>0</v>
      </c>
      <c r="K131" s="86">
        <v>0</v>
      </c>
      <c r="L131" s="86">
        <v>0</v>
      </c>
      <c r="M131" s="86">
        <f>VLOOKUP(F131,'Прайс Лазер'!$L$3:$M$9,2,0)</f>
        <v>94</v>
      </c>
      <c r="N131" s="86">
        <v>25</v>
      </c>
      <c r="O131" s="95">
        <f>VLOOKUP(E131,'Прайс Лазер'!$I$4:$J$21,2,0)</f>
        <v>1.1499999999999999</v>
      </c>
      <c r="P131" s="86">
        <f>HLOOKUP('Оценка лазера'!$E131,'Прайс Лазер'!$C$26:$T$34,1+VLOOKUP(F131,'Прайс Лазер'!$A$26:$B$34,2,0),0)</f>
        <v>21.849999999999998</v>
      </c>
      <c r="Q131" s="86">
        <f t="shared" ref="Q131:Q194" si="20">H131*M131</f>
        <v>0</v>
      </c>
      <c r="R131" s="86">
        <f t="shared" ref="R131:R194" si="21">I131*N131</f>
        <v>0</v>
      </c>
      <c r="S131" s="86">
        <f t="shared" ref="S131:S194" si="22">(K131+L131)/1000*1.1*P131+(J131*O131)</f>
        <v>0</v>
      </c>
      <c r="T131" s="86">
        <f t="shared" si="17"/>
        <v>0</v>
      </c>
      <c r="U131" s="86">
        <f t="shared" ref="U131:U194" si="23">D131*T131</f>
        <v>0</v>
      </c>
      <c r="V131" s="99">
        <f t="shared" si="18"/>
        <v>0</v>
      </c>
    </row>
    <row r="132" spans="1:22" ht="15" x14ac:dyDescent="0.25">
      <c r="A132" s="98">
        <f t="shared" si="19"/>
        <v>130</v>
      </c>
      <c r="B132" s="86"/>
      <c r="C132" s="86"/>
      <c r="D132" s="86"/>
      <c r="E132" s="86">
        <v>1</v>
      </c>
      <c r="F132" s="96" t="s">
        <v>85</v>
      </c>
      <c r="G132" s="86"/>
      <c r="H132" s="86">
        <v>0</v>
      </c>
      <c r="I132" s="86">
        <v>0</v>
      </c>
      <c r="J132" s="86">
        <v>0</v>
      </c>
      <c r="K132" s="86">
        <v>0</v>
      </c>
      <c r="L132" s="86">
        <v>0</v>
      </c>
      <c r="M132" s="86">
        <f>VLOOKUP(F132,'Прайс Лазер'!$L$3:$M$9,2,0)</f>
        <v>94</v>
      </c>
      <c r="N132" s="86">
        <v>25</v>
      </c>
      <c r="O132" s="95">
        <f>VLOOKUP(E132,'Прайс Лазер'!$I$4:$J$21,2,0)</f>
        <v>1.1499999999999999</v>
      </c>
      <c r="P132" s="86">
        <f>HLOOKUP('Оценка лазера'!$E132,'Прайс Лазер'!$C$26:$T$34,1+VLOOKUP(F132,'Прайс Лазер'!$A$26:$B$34,2,0),0)</f>
        <v>21.849999999999998</v>
      </c>
      <c r="Q132" s="86">
        <f t="shared" si="20"/>
        <v>0</v>
      </c>
      <c r="R132" s="86">
        <f t="shared" si="21"/>
        <v>0</v>
      </c>
      <c r="S132" s="86">
        <f t="shared" si="22"/>
        <v>0</v>
      </c>
      <c r="T132" s="86">
        <f t="shared" ref="T132:T195" si="24">Q132+R132+S132</f>
        <v>0</v>
      </c>
      <c r="U132" s="86">
        <f t="shared" si="23"/>
        <v>0</v>
      </c>
      <c r="V132" s="99">
        <f t="shared" ref="V132:V195" si="25">U132/1.2</f>
        <v>0</v>
      </c>
    </row>
    <row r="133" spans="1:22" ht="15" x14ac:dyDescent="0.25">
      <c r="A133" s="98">
        <f t="shared" ref="A133:A196" si="26">A132+1</f>
        <v>131</v>
      </c>
      <c r="B133" s="86"/>
      <c r="C133" s="86"/>
      <c r="D133" s="86"/>
      <c r="E133" s="86">
        <v>1</v>
      </c>
      <c r="F133" s="96" t="s">
        <v>85</v>
      </c>
      <c r="G133" s="86"/>
      <c r="H133" s="86">
        <v>0</v>
      </c>
      <c r="I133" s="86">
        <v>0</v>
      </c>
      <c r="J133" s="86">
        <v>0</v>
      </c>
      <c r="K133" s="86">
        <v>0</v>
      </c>
      <c r="L133" s="86">
        <v>0</v>
      </c>
      <c r="M133" s="86">
        <f>VLOOKUP(F133,'Прайс Лазер'!$L$3:$M$9,2,0)</f>
        <v>94</v>
      </c>
      <c r="N133" s="86">
        <v>25</v>
      </c>
      <c r="O133" s="95">
        <f>VLOOKUP(E133,'Прайс Лазер'!$I$4:$J$21,2,0)</f>
        <v>1.1499999999999999</v>
      </c>
      <c r="P133" s="86">
        <f>HLOOKUP('Оценка лазера'!$E133,'Прайс Лазер'!$C$26:$T$34,1+VLOOKUP(F133,'Прайс Лазер'!$A$26:$B$34,2,0),0)</f>
        <v>21.849999999999998</v>
      </c>
      <c r="Q133" s="86">
        <f t="shared" si="20"/>
        <v>0</v>
      </c>
      <c r="R133" s="86">
        <f t="shared" si="21"/>
        <v>0</v>
      </c>
      <c r="S133" s="86">
        <f t="shared" si="22"/>
        <v>0</v>
      </c>
      <c r="T133" s="86">
        <f t="shared" si="24"/>
        <v>0</v>
      </c>
      <c r="U133" s="86">
        <f t="shared" si="23"/>
        <v>0</v>
      </c>
      <c r="V133" s="99">
        <f t="shared" si="25"/>
        <v>0</v>
      </c>
    </row>
    <row r="134" spans="1:22" ht="15" x14ac:dyDescent="0.25">
      <c r="A134" s="98">
        <f t="shared" si="26"/>
        <v>132</v>
      </c>
      <c r="B134" s="86"/>
      <c r="C134" s="86"/>
      <c r="D134" s="86"/>
      <c r="E134" s="86">
        <v>1</v>
      </c>
      <c r="F134" s="96" t="s">
        <v>85</v>
      </c>
      <c r="G134" s="86"/>
      <c r="H134" s="86">
        <v>0</v>
      </c>
      <c r="I134" s="86">
        <v>0</v>
      </c>
      <c r="J134" s="86">
        <v>0</v>
      </c>
      <c r="K134" s="86">
        <v>0</v>
      </c>
      <c r="L134" s="86">
        <v>0</v>
      </c>
      <c r="M134" s="86">
        <f>VLOOKUP(F134,'Прайс Лазер'!$L$3:$M$9,2,0)</f>
        <v>94</v>
      </c>
      <c r="N134" s="86">
        <v>25</v>
      </c>
      <c r="O134" s="95">
        <f>VLOOKUP(E134,'Прайс Лазер'!$I$4:$J$21,2,0)</f>
        <v>1.1499999999999999</v>
      </c>
      <c r="P134" s="86">
        <f>HLOOKUP('Оценка лазера'!$E134,'Прайс Лазер'!$C$26:$T$34,1+VLOOKUP(F134,'Прайс Лазер'!$A$26:$B$34,2,0),0)</f>
        <v>21.849999999999998</v>
      </c>
      <c r="Q134" s="86">
        <f t="shared" si="20"/>
        <v>0</v>
      </c>
      <c r="R134" s="86">
        <f t="shared" si="21"/>
        <v>0</v>
      </c>
      <c r="S134" s="86">
        <f t="shared" si="22"/>
        <v>0</v>
      </c>
      <c r="T134" s="86">
        <f t="shared" si="24"/>
        <v>0</v>
      </c>
      <c r="U134" s="86">
        <f t="shared" si="23"/>
        <v>0</v>
      </c>
      <c r="V134" s="99">
        <f t="shared" si="25"/>
        <v>0</v>
      </c>
    </row>
    <row r="135" spans="1:22" ht="15" x14ac:dyDescent="0.25">
      <c r="A135" s="98">
        <f t="shared" si="26"/>
        <v>133</v>
      </c>
      <c r="B135" s="86"/>
      <c r="C135" s="86"/>
      <c r="D135" s="86"/>
      <c r="E135" s="86">
        <v>1</v>
      </c>
      <c r="F135" s="96" t="s">
        <v>85</v>
      </c>
      <c r="G135" s="86"/>
      <c r="H135" s="86">
        <v>0</v>
      </c>
      <c r="I135" s="86">
        <v>0</v>
      </c>
      <c r="J135" s="86">
        <v>0</v>
      </c>
      <c r="K135" s="86">
        <v>0</v>
      </c>
      <c r="L135" s="86">
        <v>0</v>
      </c>
      <c r="M135" s="86">
        <f>VLOOKUP(F135,'Прайс Лазер'!$L$3:$M$9,2,0)</f>
        <v>94</v>
      </c>
      <c r="N135" s="86">
        <v>25</v>
      </c>
      <c r="O135" s="95">
        <f>VLOOKUP(E135,'Прайс Лазер'!$I$4:$J$21,2,0)</f>
        <v>1.1499999999999999</v>
      </c>
      <c r="P135" s="86">
        <f>HLOOKUP('Оценка лазера'!$E135,'Прайс Лазер'!$C$26:$T$34,1+VLOOKUP(F135,'Прайс Лазер'!$A$26:$B$34,2,0),0)</f>
        <v>21.849999999999998</v>
      </c>
      <c r="Q135" s="86">
        <f t="shared" si="20"/>
        <v>0</v>
      </c>
      <c r="R135" s="86">
        <f t="shared" si="21"/>
        <v>0</v>
      </c>
      <c r="S135" s="86">
        <f t="shared" si="22"/>
        <v>0</v>
      </c>
      <c r="T135" s="86">
        <f t="shared" si="24"/>
        <v>0</v>
      </c>
      <c r="U135" s="86">
        <f t="shared" si="23"/>
        <v>0</v>
      </c>
      <c r="V135" s="99">
        <f t="shared" si="25"/>
        <v>0</v>
      </c>
    </row>
    <row r="136" spans="1:22" ht="15" x14ac:dyDescent="0.25">
      <c r="A136" s="98">
        <f t="shared" si="26"/>
        <v>134</v>
      </c>
      <c r="B136" s="86"/>
      <c r="C136" s="86"/>
      <c r="D136" s="86"/>
      <c r="E136" s="86">
        <v>1</v>
      </c>
      <c r="F136" s="96" t="s">
        <v>85</v>
      </c>
      <c r="G136" s="86"/>
      <c r="H136" s="86">
        <v>0</v>
      </c>
      <c r="I136" s="86">
        <v>0</v>
      </c>
      <c r="J136" s="86">
        <v>0</v>
      </c>
      <c r="K136" s="86">
        <v>0</v>
      </c>
      <c r="L136" s="86">
        <v>0</v>
      </c>
      <c r="M136" s="86">
        <f>VLOOKUP(F136,'Прайс Лазер'!$L$3:$M$9,2,0)</f>
        <v>94</v>
      </c>
      <c r="N136" s="86">
        <v>25</v>
      </c>
      <c r="O136" s="95">
        <f>VLOOKUP(E136,'Прайс Лазер'!$I$4:$J$21,2,0)</f>
        <v>1.1499999999999999</v>
      </c>
      <c r="P136" s="86">
        <f>HLOOKUP('Оценка лазера'!$E136,'Прайс Лазер'!$C$26:$T$34,1+VLOOKUP(F136,'Прайс Лазер'!$A$26:$B$34,2,0),0)</f>
        <v>21.849999999999998</v>
      </c>
      <c r="Q136" s="86">
        <f t="shared" si="20"/>
        <v>0</v>
      </c>
      <c r="R136" s="86">
        <f t="shared" si="21"/>
        <v>0</v>
      </c>
      <c r="S136" s="86">
        <f t="shared" si="22"/>
        <v>0</v>
      </c>
      <c r="T136" s="86">
        <f t="shared" si="24"/>
        <v>0</v>
      </c>
      <c r="U136" s="86">
        <f t="shared" si="23"/>
        <v>0</v>
      </c>
      <c r="V136" s="99">
        <f t="shared" si="25"/>
        <v>0</v>
      </c>
    </row>
    <row r="137" spans="1:22" ht="15" x14ac:dyDescent="0.25">
      <c r="A137" s="98">
        <f t="shared" si="26"/>
        <v>135</v>
      </c>
      <c r="B137" s="86"/>
      <c r="C137" s="86"/>
      <c r="D137" s="86"/>
      <c r="E137" s="86">
        <v>1</v>
      </c>
      <c r="F137" s="96" t="s">
        <v>85</v>
      </c>
      <c r="G137" s="86"/>
      <c r="H137" s="86">
        <v>0</v>
      </c>
      <c r="I137" s="86">
        <v>0</v>
      </c>
      <c r="J137" s="86">
        <v>0</v>
      </c>
      <c r="K137" s="86">
        <v>0</v>
      </c>
      <c r="L137" s="86">
        <v>0</v>
      </c>
      <c r="M137" s="86">
        <f>VLOOKUP(F137,'Прайс Лазер'!$L$3:$M$9,2,0)</f>
        <v>94</v>
      </c>
      <c r="N137" s="86">
        <v>25</v>
      </c>
      <c r="O137" s="95">
        <f>VLOOKUP(E137,'Прайс Лазер'!$I$4:$J$21,2,0)</f>
        <v>1.1499999999999999</v>
      </c>
      <c r="P137" s="86">
        <f>HLOOKUP('Оценка лазера'!$E137,'Прайс Лазер'!$C$26:$T$34,1+VLOOKUP(F137,'Прайс Лазер'!$A$26:$B$34,2,0),0)</f>
        <v>21.849999999999998</v>
      </c>
      <c r="Q137" s="86">
        <f t="shared" si="20"/>
        <v>0</v>
      </c>
      <c r="R137" s="86">
        <f t="shared" si="21"/>
        <v>0</v>
      </c>
      <c r="S137" s="86">
        <f t="shared" si="22"/>
        <v>0</v>
      </c>
      <c r="T137" s="86">
        <f t="shared" si="24"/>
        <v>0</v>
      </c>
      <c r="U137" s="86">
        <f t="shared" si="23"/>
        <v>0</v>
      </c>
      <c r="V137" s="99">
        <f t="shared" si="25"/>
        <v>0</v>
      </c>
    </row>
    <row r="138" spans="1:22" ht="15" x14ac:dyDescent="0.25">
      <c r="A138" s="98">
        <f t="shared" si="26"/>
        <v>136</v>
      </c>
      <c r="B138" s="86"/>
      <c r="C138" s="86"/>
      <c r="D138" s="86"/>
      <c r="E138" s="86">
        <v>1</v>
      </c>
      <c r="F138" s="96" t="s">
        <v>85</v>
      </c>
      <c r="G138" s="86"/>
      <c r="H138" s="86">
        <v>0</v>
      </c>
      <c r="I138" s="86">
        <v>0</v>
      </c>
      <c r="J138" s="86">
        <v>0</v>
      </c>
      <c r="K138" s="86">
        <v>0</v>
      </c>
      <c r="L138" s="86">
        <v>0</v>
      </c>
      <c r="M138" s="86">
        <f>VLOOKUP(F138,'Прайс Лазер'!$L$3:$M$9,2,0)</f>
        <v>94</v>
      </c>
      <c r="N138" s="86">
        <v>25</v>
      </c>
      <c r="O138" s="95">
        <f>VLOOKUP(E138,'Прайс Лазер'!$I$4:$J$21,2,0)</f>
        <v>1.1499999999999999</v>
      </c>
      <c r="P138" s="86">
        <f>HLOOKUP('Оценка лазера'!$E138,'Прайс Лазер'!$C$26:$T$34,1+VLOOKUP(F138,'Прайс Лазер'!$A$26:$B$34,2,0),0)</f>
        <v>21.849999999999998</v>
      </c>
      <c r="Q138" s="86">
        <f t="shared" si="20"/>
        <v>0</v>
      </c>
      <c r="R138" s="86">
        <f t="shared" si="21"/>
        <v>0</v>
      </c>
      <c r="S138" s="86">
        <f t="shared" si="22"/>
        <v>0</v>
      </c>
      <c r="T138" s="86">
        <f t="shared" si="24"/>
        <v>0</v>
      </c>
      <c r="U138" s="86">
        <f t="shared" si="23"/>
        <v>0</v>
      </c>
      <c r="V138" s="99">
        <f t="shared" si="25"/>
        <v>0</v>
      </c>
    </row>
    <row r="139" spans="1:22" ht="15" x14ac:dyDescent="0.25">
      <c r="A139" s="98">
        <f t="shared" si="26"/>
        <v>137</v>
      </c>
      <c r="B139" s="86"/>
      <c r="C139" s="86"/>
      <c r="D139" s="86"/>
      <c r="E139" s="86">
        <v>1</v>
      </c>
      <c r="F139" s="96" t="s">
        <v>85</v>
      </c>
      <c r="G139" s="86"/>
      <c r="H139" s="86">
        <v>0</v>
      </c>
      <c r="I139" s="86">
        <v>0</v>
      </c>
      <c r="J139" s="86">
        <v>0</v>
      </c>
      <c r="K139" s="86">
        <v>0</v>
      </c>
      <c r="L139" s="86">
        <v>0</v>
      </c>
      <c r="M139" s="86">
        <f>VLOOKUP(F139,'Прайс Лазер'!$L$3:$M$9,2,0)</f>
        <v>94</v>
      </c>
      <c r="N139" s="86">
        <v>25</v>
      </c>
      <c r="O139" s="95">
        <f>VLOOKUP(E139,'Прайс Лазер'!$I$4:$J$21,2,0)</f>
        <v>1.1499999999999999</v>
      </c>
      <c r="P139" s="86">
        <f>HLOOKUP('Оценка лазера'!$E139,'Прайс Лазер'!$C$26:$T$34,1+VLOOKUP(F139,'Прайс Лазер'!$A$26:$B$34,2,0),0)</f>
        <v>21.849999999999998</v>
      </c>
      <c r="Q139" s="86">
        <f t="shared" si="20"/>
        <v>0</v>
      </c>
      <c r="R139" s="86">
        <f t="shared" si="21"/>
        <v>0</v>
      </c>
      <c r="S139" s="86">
        <f t="shared" si="22"/>
        <v>0</v>
      </c>
      <c r="T139" s="86">
        <f t="shared" si="24"/>
        <v>0</v>
      </c>
      <c r="U139" s="86">
        <f t="shared" si="23"/>
        <v>0</v>
      </c>
      <c r="V139" s="99">
        <f t="shared" si="25"/>
        <v>0</v>
      </c>
    </row>
    <row r="140" spans="1:22" ht="15" x14ac:dyDescent="0.25">
      <c r="A140" s="98">
        <f t="shared" si="26"/>
        <v>138</v>
      </c>
      <c r="B140" s="86"/>
      <c r="C140" s="86"/>
      <c r="D140" s="86"/>
      <c r="E140" s="86">
        <v>1</v>
      </c>
      <c r="F140" s="96" t="s">
        <v>85</v>
      </c>
      <c r="G140" s="86"/>
      <c r="H140" s="86">
        <v>0</v>
      </c>
      <c r="I140" s="86">
        <v>0</v>
      </c>
      <c r="J140" s="86">
        <v>0</v>
      </c>
      <c r="K140" s="86">
        <v>0</v>
      </c>
      <c r="L140" s="86">
        <v>0</v>
      </c>
      <c r="M140" s="86">
        <f>VLOOKUP(F140,'Прайс Лазер'!$L$3:$M$9,2,0)</f>
        <v>94</v>
      </c>
      <c r="N140" s="86">
        <v>25</v>
      </c>
      <c r="O140" s="95">
        <f>VLOOKUP(E140,'Прайс Лазер'!$I$4:$J$21,2,0)</f>
        <v>1.1499999999999999</v>
      </c>
      <c r="P140" s="86">
        <f>HLOOKUP('Оценка лазера'!$E140,'Прайс Лазер'!$C$26:$T$34,1+VLOOKUP(F140,'Прайс Лазер'!$A$26:$B$34,2,0),0)</f>
        <v>21.849999999999998</v>
      </c>
      <c r="Q140" s="86">
        <f t="shared" si="20"/>
        <v>0</v>
      </c>
      <c r="R140" s="86">
        <f t="shared" si="21"/>
        <v>0</v>
      </c>
      <c r="S140" s="86">
        <f t="shared" si="22"/>
        <v>0</v>
      </c>
      <c r="T140" s="86">
        <f t="shared" si="24"/>
        <v>0</v>
      </c>
      <c r="U140" s="86">
        <f t="shared" si="23"/>
        <v>0</v>
      </c>
      <c r="V140" s="99">
        <f t="shared" si="25"/>
        <v>0</v>
      </c>
    </row>
    <row r="141" spans="1:22" ht="15" x14ac:dyDescent="0.25">
      <c r="A141" s="98">
        <f t="shared" si="26"/>
        <v>139</v>
      </c>
      <c r="B141" s="86"/>
      <c r="C141" s="86"/>
      <c r="D141" s="86"/>
      <c r="E141" s="86">
        <v>1</v>
      </c>
      <c r="F141" s="96" t="s">
        <v>85</v>
      </c>
      <c r="G141" s="86"/>
      <c r="H141" s="86">
        <v>0</v>
      </c>
      <c r="I141" s="86">
        <v>0</v>
      </c>
      <c r="J141" s="86">
        <v>0</v>
      </c>
      <c r="K141" s="86">
        <v>0</v>
      </c>
      <c r="L141" s="86">
        <v>0</v>
      </c>
      <c r="M141" s="86">
        <f>VLOOKUP(F141,'Прайс Лазер'!$L$3:$M$9,2,0)</f>
        <v>94</v>
      </c>
      <c r="N141" s="86">
        <v>25</v>
      </c>
      <c r="O141" s="95">
        <f>VLOOKUP(E141,'Прайс Лазер'!$I$4:$J$21,2,0)</f>
        <v>1.1499999999999999</v>
      </c>
      <c r="P141" s="86">
        <f>HLOOKUP('Оценка лазера'!$E141,'Прайс Лазер'!$C$26:$T$34,1+VLOOKUP(F141,'Прайс Лазер'!$A$26:$B$34,2,0),0)</f>
        <v>21.849999999999998</v>
      </c>
      <c r="Q141" s="86">
        <f t="shared" si="20"/>
        <v>0</v>
      </c>
      <c r="R141" s="86">
        <f t="shared" si="21"/>
        <v>0</v>
      </c>
      <c r="S141" s="86">
        <f t="shared" si="22"/>
        <v>0</v>
      </c>
      <c r="T141" s="86">
        <f t="shared" si="24"/>
        <v>0</v>
      </c>
      <c r="U141" s="86">
        <f t="shared" si="23"/>
        <v>0</v>
      </c>
      <c r="V141" s="99">
        <f t="shared" si="25"/>
        <v>0</v>
      </c>
    </row>
    <row r="142" spans="1:22" ht="15" x14ac:dyDescent="0.25">
      <c r="A142" s="98">
        <f t="shared" si="26"/>
        <v>140</v>
      </c>
      <c r="B142" s="86"/>
      <c r="C142" s="86"/>
      <c r="D142" s="86"/>
      <c r="E142" s="86">
        <v>1</v>
      </c>
      <c r="F142" s="96" t="s">
        <v>85</v>
      </c>
      <c r="G142" s="86"/>
      <c r="H142" s="86">
        <v>0</v>
      </c>
      <c r="I142" s="86">
        <v>0</v>
      </c>
      <c r="J142" s="86">
        <v>0</v>
      </c>
      <c r="K142" s="86">
        <v>0</v>
      </c>
      <c r="L142" s="86">
        <v>0</v>
      </c>
      <c r="M142" s="86">
        <f>VLOOKUP(F142,'Прайс Лазер'!$L$3:$M$9,2,0)</f>
        <v>94</v>
      </c>
      <c r="N142" s="86">
        <v>25</v>
      </c>
      <c r="O142" s="95">
        <f>VLOOKUP(E142,'Прайс Лазер'!$I$4:$J$21,2,0)</f>
        <v>1.1499999999999999</v>
      </c>
      <c r="P142" s="86">
        <f>HLOOKUP('Оценка лазера'!$E142,'Прайс Лазер'!$C$26:$T$34,1+VLOOKUP(F142,'Прайс Лазер'!$A$26:$B$34,2,0),0)</f>
        <v>21.849999999999998</v>
      </c>
      <c r="Q142" s="86">
        <f t="shared" si="20"/>
        <v>0</v>
      </c>
      <c r="R142" s="86">
        <f t="shared" si="21"/>
        <v>0</v>
      </c>
      <c r="S142" s="86">
        <f t="shared" si="22"/>
        <v>0</v>
      </c>
      <c r="T142" s="86">
        <f t="shared" si="24"/>
        <v>0</v>
      </c>
      <c r="U142" s="86">
        <f t="shared" si="23"/>
        <v>0</v>
      </c>
      <c r="V142" s="99">
        <f t="shared" si="25"/>
        <v>0</v>
      </c>
    </row>
    <row r="143" spans="1:22" ht="15" x14ac:dyDescent="0.25">
      <c r="A143" s="98">
        <f t="shared" si="26"/>
        <v>141</v>
      </c>
      <c r="B143" s="86"/>
      <c r="C143" s="86"/>
      <c r="D143" s="86"/>
      <c r="E143" s="86">
        <v>1</v>
      </c>
      <c r="F143" s="96" t="s">
        <v>85</v>
      </c>
      <c r="G143" s="86"/>
      <c r="H143" s="86">
        <v>0</v>
      </c>
      <c r="I143" s="86">
        <v>0</v>
      </c>
      <c r="J143" s="86">
        <v>0</v>
      </c>
      <c r="K143" s="86">
        <v>0</v>
      </c>
      <c r="L143" s="86">
        <v>0</v>
      </c>
      <c r="M143" s="86">
        <f>VLOOKUP(F143,'Прайс Лазер'!$L$3:$M$9,2,0)</f>
        <v>94</v>
      </c>
      <c r="N143" s="86">
        <v>25</v>
      </c>
      <c r="O143" s="95">
        <f>VLOOKUP(E143,'Прайс Лазер'!$I$4:$J$21,2,0)</f>
        <v>1.1499999999999999</v>
      </c>
      <c r="P143" s="86">
        <f>HLOOKUP('Оценка лазера'!$E143,'Прайс Лазер'!$C$26:$T$34,1+VLOOKUP(F143,'Прайс Лазер'!$A$26:$B$34,2,0),0)</f>
        <v>21.849999999999998</v>
      </c>
      <c r="Q143" s="86">
        <f t="shared" si="20"/>
        <v>0</v>
      </c>
      <c r="R143" s="86">
        <f t="shared" si="21"/>
        <v>0</v>
      </c>
      <c r="S143" s="86">
        <f t="shared" si="22"/>
        <v>0</v>
      </c>
      <c r="T143" s="86">
        <f t="shared" si="24"/>
        <v>0</v>
      </c>
      <c r="U143" s="86">
        <f t="shared" si="23"/>
        <v>0</v>
      </c>
      <c r="V143" s="99">
        <f t="shared" si="25"/>
        <v>0</v>
      </c>
    </row>
    <row r="144" spans="1:22" ht="15" x14ac:dyDescent="0.25">
      <c r="A144" s="98">
        <f t="shared" si="26"/>
        <v>142</v>
      </c>
      <c r="B144" s="86"/>
      <c r="C144" s="86"/>
      <c r="D144" s="86"/>
      <c r="E144" s="86">
        <v>1</v>
      </c>
      <c r="F144" s="96" t="s">
        <v>85</v>
      </c>
      <c r="G144" s="86"/>
      <c r="H144" s="86">
        <v>0</v>
      </c>
      <c r="I144" s="86">
        <v>0</v>
      </c>
      <c r="J144" s="86">
        <v>0</v>
      </c>
      <c r="K144" s="86">
        <v>0</v>
      </c>
      <c r="L144" s="86">
        <v>0</v>
      </c>
      <c r="M144" s="86">
        <f>VLOOKUP(F144,'Прайс Лазер'!$L$3:$M$9,2,0)</f>
        <v>94</v>
      </c>
      <c r="N144" s="86">
        <v>25</v>
      </c>
      <c r="O144" s="95">
        <f>VLOOKUP(E144,'Прайс Лазер'!$I$4:$J$21,2,0)</f>
        <v>1.1499999999999999</v>
      </c>
      <c r="P144" s="86">
        <f>HLOOKUP('Оценка лазера'!$E144,'Прайс Лазер'!$C$26:$T$34,1+VLOOKUP(F144,'Прайс Лазер'!$A$26:$B$34,2,0),0)</f>
        <v>21.849999999999998</v>
      </c>
      <c r="Q144" s="86">
        <f t="shared" si="20"/>
        <v>0</v>
      </c>
      <c r="R144" s="86">
        <f t="shared" si="21"/>
        <v>0</v>
      </c>
      <c r="S144" s="86">
        <f t="shared" si="22"/>
        <v>0</v>
      </c>
      <c r="T144" s="86">
        <f t="shared" si="24"/>
        <v>0</v>
      </c>
      <c r="U144" s="86">
        <f t="shared" si="23"/>
        <v>0</v>
      </c>
      <c r="V144" s="99">
        <f t="shared" si="25"/>
        <v>0</v>
      </c>
    </row>
    <row r="145" spans="1:22" ht="15" x14ac:dyDescent="0.25">
      <c r="A145" s="98">
        <f t="shared" si="26"/>
        <v>143</v>
      </c>
      <c r="B145" s="86"/>
      <c r="C145" s="86"/>
      <c r="D145" s="86"/>
      <c r="E145" s="86">
        <v>1</v>
      </c>
      <c r="F145" s="96" t="s">
        <v>85</v>
      </c>
      <c r="G145" s="86"/>
      <c r="H145" s="86">
        <v>0</v>
      </c>
      <c r="I145" s="86">
        <v>0</v>
      </c>
      <c r="J145" s="86">
        <v>0</v>
      </c>
      <c r="K145" s="86">
        <v>0</v>
      </c>
      <c r="L145" s="86">
        <v>0</v>
      </c>
      <c r="M145" s="86">
        <f>VLOOKUP(F145,'Прайс Лазер'!$L$3:$M$9,2,0)</f>
        <v>94</v>
      </c>
      <c r="N145" s="86">
        <v>25</v>
      </c>
      <c r="O145" s="95">
        <f>VLOOKUP(E145,'Прайс Лазер'!$I$4:$J$21,2,0)</f>
        <v>1.1499999999999999</v>
      </c>
      <c r="P145" s="86">
        <f>HLOOKUP('Оценка лазера'!$E145,'Прайс Лазер'!$C$26:$T$34,1+VLOOKUP(F145,'Прайс Лазер'!$A$26:$B$34,2,0),0)</f>
        <v>21.849999999999998</v>
      </c>
      <c r="Q145" s="86">
        <f t="shared" si="20"/>
        <v>0</v>
      </c>
      <c r="R145" s="86">
        <f t="shared" si="21"/>
        <v>0</v>
      </c>
      <c r="S145" s="86">
        <f t="shared" si="22"/>
        <v>0</v>
      </c>
      <c r="T145" s="86">
        <f t="shared" si="24"/>
        <v>0</v>
      </c>
      <c r="U145" s="86">
        <f t="shared" si="23"/>
        <v>0</v>
      </c>
      <c r="V145" s="99">
        <f t="shared" si="25"/>
        <v>0</v>
      </c>
    </row>
    <row r="146" spans="1:22" ht="15" x14ac:dyDescent="0.25">
      <c r="A146" s="98">
        <f t="shared" si="26"/>
        <v>144</v>
      </c>
      <c r="B146" s="86"/>
      <c r="C146" s="86"/>
      <c r="D146" s="86"/>
      <c r="E146" s="86">
        <v>1</v>
      </c>
      <c r="F146" s="96" t="s">
        <v>85</v>
      </c>
      <c r="G146" s="86"/>
      <c r="H146" s="86">
        <v>0</v>
      </c>
      <c r="I146" s="86">
        <v>0</v>
      </c>
      <c r="J146" s="86">
        <v>0</v>
      </c>
      <c r="K146" s="86">
        <v>0</v>
      </c>
      <c r="L146" s="86">
        <v>0</v>
      </c>
      <c r="M146" s="86">
        <f>VLOOKUP(F146,'Прайс Лазер'!$L$3:$M$9,2,0)</f>
        <v>94</v>
      </c>
      <c r="N146" s="86">
        <v>25</v>
      </c>
      <c r="O146" s="95">
        <f>VLOOKUP(E146,'Прайс Лазер'!$I$4:$J$21,2,0)</f>
        <v>1.1499999999999999</v>
      </c>
      <c r="P146" s="86">
        <f>HLOOKUP('Оценка лазера'!$E146,'Прайс Лазер'!$C$26:$T$34,1+VLOOKUP(F146,'Прайс Лазер'!$A$26:$B$34,2,0),0)</f>
        <v>21.849999999999998</v>
      </c>
      <c r="Q146" s="86">
        <f t="shared" si="20"/>
        <v>0</v>
      </c>
      <c r="R146" s="86">
        <f t="shared" si="21"/>
        <v>0</v>
      </c>
      <c r="S146" s="86">
        <f t="shared" si="22"/>
        <v>0</v>
      </c>
      <c r="T146" s="86">
        <f t="shared" si="24"/>
        <v>0</v>
      </c>
      <c r="U146" s="86">
        <f t="shared" si="23"/>
        <v>0</v>
      </c>
      <c r="V146" s="99">
        <f t="shared" si="25"/>
        <v>0</v>
      </c>
    </row>
    <row r="147" spans="1:22" ht="15" x14ac:dyDescent="0.25">
      <c r="A147" s="98">
        <f t="shared" si="26"/>
        <v>145</v>
      </c>
      <c r="B147" s="86"/>
      <c r="C147" s="86"/>
      <c r="D147" s="86"/>
      <c r="E147" s="86">
        <v>1</v>
      </c>
      <c r="F147" s="96" t="s">
        <v>85</v>
      </c>
      <c r="G147" s="86"/>
      <c r="H147" s="86">
        <v>0</v>
      </c>
      <c r="I147" s="86">
        <v>0</v>
      </c>
      <c r="J147" s="86">
        <v>0</v>
      </c>
      <c r="K147" s="86">
        <v>0</v>
      </c>
      <c r="L147" s="86">
        <v>0</v>
      </c>
      <c r="M147" s="86">
        <f>VLOOKUP(F147,'Прайс Лазер'!$L$3:$M$9,2,0)</f>
        <v>94</v>
      </c>
      <c r="N147" s="86">
        <v>25</v>
      </c>
      <c r="O147" s="95">
        <f>VLOOKUP(E147,'Прайс Лазер'!$I$4:$J$21,2,0)</f>
        <v>1.1499999999999999</v>
      </c>
      <c r="P147" s="86">
        <f>HLOOKUP('Оценка лазера'!$E147,'Прайс Лазер'!$C$26:$T$34,1+VLOOKUP(F147,'Прайс Лазер'!$A$26:$B$34,2,0),0)</f>
        <v>21.849999999999998</v>
      </c>
      <c r="Q147" s="86">
        <f t="shared" si="20"/>
        <v>0</v>
      </c>
      <c r="R147" s="86">
        <f t="shared" si="21"/>
        <v>0</v>
      </c>
      <c r="S147" s="86">
        <f t="shared" si="22"/>
        <v>0</v>
      </c>
      <c r="T147" s="86">
        <f t="shared" si="24"/>
        <v>0</v>
      </c>
      <c r="U147" s="86">
        <f t="shared" si="23"/>
        <v>0</v>
      </c>
      <c r="V147" s="99">
        <f t="shared" si="25"/>
        <v>0</v>
      </c>
    </row>
    <row r="148" spans="1:22" ht="15" x14ac:dyDescent="0.25">
      <c r="A148" s="98">
        <f t="shared" si="26"/>
        <v>146</v>
      </c>
      <c r="B148" s="86"/>
      <c r="C148" s="86"/>
      <c r="D148" s="86"/>
      <c r="E148" s="86">
        <v>1</v>
      </c>
      <c r="F148" s="96" t="s">
        <v>85</v>
      </c>
      <c r="G148" s="86"/>
      <c r="H148" s="86">
        <v>0</v>
      </c>
      <c r="I148" s="86">
        <v>0</v>
      </c>
      <c r="J148" s="86">
        <v>0</v>
      </c>
      <c r="K148" s="86">
        <v>0</v>
      </c>
      <c r="L148" s="86">
        <v>0</v>
      </c>
      <c r="M148" s="86">
        <f>VLOOKUP(F148,'Прайс Лазер'!$L$3:$M$9,2,0)</f>
        <v>94</v>
      </c>
      <c r="N148" s="86">
        <v>25</v>
      </c>
      <c r="O148" s="95">
        <f>VLOOKUP(E148,'Прайс Лазер'!$I$4:$J$21,2,0)</f>
        <v>1.1499999999999999</v>
      </c>
      <c r="P148" s="86">
        <f>HLOOKUP('Оценка лазера'!$E148,'Прайс Лазер'!$C$26:$T$34,1+VLOOKUP(F148,'Прайс Лазер'!$A$26:$B$34,2,0),0)</f>
        <v>21.849999999999998</v>
      </c>
      <c r="Q148" s="86">
        <f t="shared" si="20"/>
        <v>0</v>
      </c>
      <c r="R148" s="86">
        <f t="shared" si="21"/>
        <v>0</v>
      </c>
      <c r="S148" s="86">
        <f t="shared" si="22"/>
        <v>0</v>
      </c>
      <c r="T148" s="86">
        <f t="shared" si="24"/>
        <v>0</v>
      </c>
      <c r="U148" s="86">
        <f t="shared" si="23"/>
        <v>0</v>
      </c>
      <c r="V148" s="99">
        <f t="shared" si="25"/>
        <v>0</v>
      </c>
    </row>
    <row r="149" spans="1:22" ht="15" x14ac:dyDescent="0.25">
      <c r="A149" s="98">
        <f t="shared" si="26"/>
        <v>147</v>
      </c>
      <c r="B149" s="86"/>
      <c r="C149" s="86"/>
      <c r="D149" s="86"/>
      <c r="E149" s="86">
        <v>1</v>
      </c>
      <c r="F149" s="96" t="s">
        <v>85</v>
      </c>
      <c r="G149" s="86"/>
      <c r="H149" s="86">
        <v>0</v>
      </c>
      <c r="I149" s="86">
        <v>0</v>
      </c>
      <c r="J149" s="86">
        <v>0</v>
      </c>
      <c r="K149" s="86">
        <v>0</v>
      </c>
      <c r="L149" s="86">
        <v>0</v>
      </c>
      <c r="M149" s="86">
        <f>VLOOKUP(F149,'Прайс Лазер'!$L$3:$M$9,2,0)</f>
        <v>94</v>
      </c>
      <c r="N149" s="86">
        <v>25</v>
      </c>
      <c r="O149" s="95">
        <f>VLOOKUP(E149,'Прайс Лазер'!$I$4:$J$21,2,0)</f>
        <v>1.1499999999999999</v>
      </c>
      <c r="P149" s="86">
        <f>HLOOKUP('Оценка лазера'!$E149,'Прайс Лазер'!$C$26:$T$34,1+VLOOKUP(F149,'Прайс Лазер'!$A$26:$B$34,2,0),0)</f>
        <v>21.849999999999998</v>
      </c>
      <c r="Q149" s="86">
        <f t="shared" si="20"/>
        <v>0</v>
      </c>
      <c r="R149" s="86">
        <f t="shared" si="21"/>
        <v>0</v>
      </c>
      <c r="S149" s="86">
        <f t="shared" si="22"/>
        <v>0</v>
      </c>
      <c r="T149" s="86">
        <f t="shared" si="24"/>
        <v>0</v>
      </c>
      <c r="U149" s="86">
        <f t="shared" si="23"/>
        <v>0</v>
      </c>
      <c r="V149" s="99">
        <f t="shared" si="25"/>
        <v>0</v>
      </c>
    </row>
    <row r="150" spans="1:22" ht="15" x14ac:dyDescent="0.25">
      <c r="A150" s="98">
        <f t="shared" si="26"/>
        <v>148</v>
      </c>
      <c r="B150" s="86"/>
      <c r="C150" s="86"/>
      <c r="D150" s="86"/>
      <c r="E150" s="86">
        <v>1</v>
      </c>
      <c r="F150" s="96" t="s">
        <v>85</v>
      </c>
      <c r="G150" s="86"/>
      <c r="H150" s="86">
        <v>0</v>
      </c>
      <c r="I150" s="86">
        <v>0</v>
      </c>
      <c r="J150" s="86">
        <v>0</v>
      </c>
      <c r="K150" s="86">
        <v>0</v>
      </c>
      <c r="L150" s="86">
        <v>0</v>
      </c>
      <c r="M150" s="86">
        <f>VLOOKUP(F150,'Прайс Лазер'!$L$3:$M$9,2,0)</f>
        <v>94</v>
      </c>
      <c r="N150" s="86">
        <v>25</v>
      </c>
      <c r="O150" s="95">
        <f>VLOOKUP(E150,'Прайс Лазер'!$I$4:$J$21,2,0)</f>
        <v>1.1499999999999999</v>
      </c>
      <c r="P150" s="86">
        <f>HLOOKUP('Оценка лазера'!$E150,'Прайс Лазер'!$C$26:$T$34,1+VLOOKUP(F150,'Прайс Лазер'!$A$26:$B$34,2,0),0)</f>
        <v>21.849999999999998</v>
      </c>
      <c r="Q150" s="86">
        <f t="shared" si="20"/>
        <v>0</v>
      </c>
      <c r="R150" s="86">
        <f t="shared" si="21"/>
        <v>0</v>
      </c>
      <c r="S150" s="86">
        <f t="shared" si="22"/>
        <v>0</v>
      </c>
      <c r="T150" s="86">
        <f t="shared" si="24"/>
        <v>0</v>
      </c>
      <c r="U150" s="86">
        <f t="shared" si="23"/>
        <v>0</v>
      </c>
      <c r="V150" s="99">
        <f t="shared" si="25"/>
        <v>0</v>
      </c>
    </row>
    <row r="151" spans="1:22" ht="15" x14ac:dyDescent="0.25">
      <c r="A151" s="98">
        <f t="shared" si="26"/>
        <v>149</v>
      </c>
      <c r="B151" s="86"/>
      <c r="C151" s="86"/>
      <c r="D151" s="86"/>
      <c r="E151" s="86">
        <v>1</v>
      </c>
      <c r="F151" s="96" t="s">
        <v>85</v>
      </c>
      <c r="G151" s="86"/>
      <c r="H151" s="86">
        <v>0</v>
      </c>
      <c r="I151" s="86">
        <v>0</v>
      </c>
      <c r="J151" s="86">
        <v>0</v>
      </c>
      <c r="K151" s="86">
        <v>0</v>
      </c>
      <c r="L151" s="86">
        <v>0</v>
      </c>
      <c r="M151" s="86">
        <f>VLOOKUP(F151,'Прайс Лазер'!$L$3:$M$9,2,0)</f>
        <v>94</v>
      </c>
      <c r="N151" s="86">
        <v>25</v>
      </c>
      <c r="O151" s="95">
        <f>VLOOKUP(E151,'Прайс Лазер'!$I$4:$J$21,2,0)</f>
        <v>1.1499999999999999</v>
      </c>
      <c r="P151" s="86">
        <f>HLOOKUP('Оценка лазера'!$E151,'Прайс Лазер'!$C$26:$T$34,1+VLOOKUP(F151,'Прайс Лазер'!$A$26:$B$34,2,0),0)</f>
        <v>21.849999999999998</v>
      </c>
      <c r="Q151" s="86">
        <f t="shared" si="20"/>
        <v>0</v>
      </c>
      <c r="R151" s="86">
        <f t="shared" si="21"/>
        <v>0</v>
      </c>
      <c r="S151" s="86">
        <f t="shared" si="22"/>
        <v>0</v>
      </c>
      <c r="T151" s="86">
        <f t="shared" si="24"/>
        <v>0</v>
      </c>
      <c r="U151" s="86">
        <f t="shared" si="23"/>
        <v>0</v>
      </c>
      <c r="V151" s="99">
        <f t="shared" si="25"/>
        <v>0</v>
      </c>
    </row>
    <row r="152" spans="1:22" ht="15" x14ac:dyDescent="0.25">
      <c r="A152" s="98">
        <f t="shared" si="26"/>
        <v>150</v>
      </c>
      <c r="B152" s="86"/>
      <c r="C152" s="86"/>
      <c r="D152" s="86"/>
      <c r="E152" s="86">
        <v>1</v>
      </c>
      <c r="F152" s="96" t="s">
        <v>85</v>
      </c>
      <c r="G152" s="86"/>
      <c r="H152" s="86">
        <v>0</v>
      </c>
      <c r="I152" s="86">
        <v>0</v>
      </c>
      <c r="J152" s="86">
        <v>0</v>
      </c>
      <c r="K152" s="86">
        <v>0</v>
      </c>
      <c r="L152" s="86">
        <v>0</v>
      </c>
      <c r="M152" s="86">
        <f>VLOOKUP(F152,'Прайс Лазер'!$L$3:$M$9,2,0)</f>
        <v>94</v>
      </c>
      <c r="N152" s="86">
        <v>25</v>
      </c>
      <c r="O152" s="95">
        <f>VLOOKUP(E152,'Прайс Лазер'!$I$4:$J$21,2,0)</f>
        <v>1.1499999999999999</v>
      </c>
      <c r="P152" s="86">
        <f>HLOOKUP('Оценка лазера'!$E152,'Прайс Лазер'!$C$26:$T$34,1+VLOOKUP(F152,'Прайс Лазер'!$A$26:$B$34,2,0),0)</f>
        <v>21.849999999999998</v>
      </c>
      <c r="Q152" s="86">
        <f t="shared" si="20"/>
        <v>0</v>
      </c>
      <c r="R152" s="86">
        <f t="shared" si="21"/>
        <v>0</v>
      </c>
      <c r="S152" s="86">
        <f t="shared" si="22"/>
        <v>0</v>
      </c>
      <c r="T152" s="86">
        <f t="shared" si="24"/>
        <v>0</v>
      </c>
      <c r="U152" s="86">
        <f t="shared" si="23"/>
        <v>0</v>
      </c>
      <c r="V152" s="99">
        <f t="shared" si="25"/>
        <v>0</v>
      </c>
    </row>
    <row r="153" spans="1:22" ht="15" x14ac:dyDescent="0.25">
      <c r="A153" s="98">
        <f t="shared" si="26"/>
        <v>151</v>
      </c>
      <c r="B153" s="86"/>
      <c r="C153" s="86"/>
      <c r="D153" s="86"/>
      <c r="E153" s="86">
        <v>1</v>
      </c>
      <c r="F153" s="96" t="s">
        <v>85</v>
      </c>
      <c r="G153" s="86"/>
      <c r="H153" s="86">
        <v>0</v>
      </c>
      <c r="I153" s="86">
        <v>0</v>
      </c>
      <c r="J153" s="86">
        <v>0</v>
      </c>
      <c r="K153" s="86">
        <v>0</v>
      </c>
      <c r="L153" s="86">
        <v>0</v>
      </c>
      <c r="M153" s="86">
        <f>VLOOKUP(F153,'Прайс Лазер'!$L$3:$M$9,2,0)</f>
        <v>94</v>
      </c>
      <c r="N153" s="86">
        <v>25</v>
      </c>
      <c r="O153" s="95">
        <f>VLOOKUP(E153,'Прайс Лазер'!$I$4:$J$21,2,0)</f>
        <v>1.1499999999999999</v>
      </c>
      <c r="P153" s="86">
        <f>HLOOKUP('Оценка лазера'!$E153,'Прайс Лазер'!$C$26:$T$34,1+VLOOKUP(F153,'Прайс Лазер'!$A$26:$B$34,2,0),0)</f>
        <v>21.849999999999998</v>
      </c>
      <c r="Q153" s="86">
        <f t="shared" si="20"/>
        <v>0</v>
      </c>
      <c r="R153" s="86">
        <f t="shared" si="21"/>
        <v>0</v>
      </c>
      <c r="S153" s="86">
        <f t="shared" si="22"/>
        <v>0</v>
      </c>
      <c r="T153" s="86">
        <f t="shared" si="24"/>
        <v>0</v>
      </c>
      <c r="U153" s="86">
        <f t="shared" si="23"/>
        <v>0</v>
      </c>
      <c r="V153" s="99">
        <f t="shared" si="25"/>
        <v>0</v>
      </c>
    </row>
    <row r="154" spans="1:22" ht="15" x14ac:dyDescent="0.25">
      <c r="A154" s="98">
        <f t="shared" si="26"/>
        <v>152</v>
      </c>
      <c r="B154" s="86"/>
      <c r="C154" s="86"/>
      <c r="D154" s="86"/>
      <c r="E154" s="86">
        <v>1</v>
      </c>
      <c r="F154" s="96" t="s">
        <v>85</v>
      </c>
      <c r="G154" s="86"/>
      <c r="H154" s="86">
        <v>0</v>
      </c>
      <c r="I154" s="86">
        <v>0</v>
      </c>
      <c r="J154" s="86">
        <v>0</v>
      </c>
      <c r="K154" s="86">
        <v>0</v>
      </c>
      <c r="L154" s="86">
        <v>0</v>
      </c>
      <c r="M154" s="86">
        <f>VLOOKUP(F154,'Прайс Лазер'!$L$3:$M$9,2,0)</f>
        <v>94</v>
      </c>
      <c r="N154" s="86">
        <v>25</v>
      </c>
      <c r="O154" s="95">
        <f>VLOOKUP(E154,'Прайс Лазер'!$I$4:$J$21,2,0)</f>
        <v>1.1499999999999999</v>
      </c>
      <c r="P154" s="86">
        <f>HLOOKUP('Оценка лазера'!$E154,'Прайс Лазер'!$C$26:$T$34,1+VLOOKUP(F154,'Прайс Лазер'!$A$26:$B$34,2,0),0)</f>
        <v>21.849999999999998</v>
      </c>
      <c r="Q154" s="86">
        <f t="shared" si="20"/>
        <v>0</v>
      </c>
      <c r="R154" s="86">
        <f t="shared" si="21"/>
        <v>0</v>
      </c>
      <c r="S154" s="86">
        <f t="shared" si="22"/>
        <v>0</v>
      </c>
      <c r="T154" s="86">
        <f t="shared" si="24"/>
        <v>0</v>
      </c>
      <c r="U154" s="86">
        <f t="shared" si="23"/>
        <v>0</v>
      </c>
      <c r="V154" s="99">
        <f t="shared" si="25"/>
        <v>0</v>
      </c>
    </row>
    <row r="155" spans="1:22" ht="15" x14ac:dyDescent="0.25">
      <c r="A155" s="98">
        <f t="shared" si="26"/>
        <v>153</v>
      </c>
      <c r="B155" s="86"/>
      <c r="C155" s="86"/>
      <c r="D155" s="86"/>
      <c r="E155" s="86">
        <v>1</v>
      </c>
      <c r="F155" s="96" t="s">
        <v>85</v>
      </c>
      <c r="G155" s="86"/>
      <c r="H155" s="86">
        <v>0</v>
      </c>
      <c r="I155" s="86">
        <v>0</v>
      </c>
      <c r="J155" s="86">
        <v>0</v>
      </c>
      <c r="K155" s="86">
        <v>0</v>
      </c>
      <c r="L155" s="86">
        <v>0</v>
      </c>
      <c r="M155" s="86">
        <f>VLOOKUP(F155,'Прайс Лазер'!$L$3:$M$9,2,0)</f>
        <v>94</v>
      </c>
      <c r="N155" s="86">
        <v>25</v>
      </c>
      <c r="O155" s="95">
        <f>VLOOKUP(E155,'Прайс Лазер'!$I$4:$J$21,2,0)</f>
        <v>1.1499999999999999</v>
      </c>
      <c r="P155" s="86">
        <f>HLOOKUP('Оценка лазера'!$E155,'Прайс Лазер'!$C$26:$T$34,1+VLOOKUP(F155,'Прайс Лазер'!$A$26:$B$34,2,0),0)</f>
        <v>21.849999999999998</v>
      </c>
      <c r="Q155" s="86">
        <f t="shared" si="20"/>
        <v>0</v>
      </c>
      <c r="R155" s="86">
        <f t="shared" si="21"/>
        <v>0</v>
      </c>
      <c r="S155" s="86">
        <f t="shared" si="22"/>
        <v>0</v>
      </c>
      <c r="T155" s="86">
        <f t="shared" si="24"/>
        <v>0</v>
      </c>
      <c r="U155" s="86">
        <f t="shared" si="23"/>
        <v>0</v>
      </c>
      <c r="V155" s="99">
        <f t="shared" si="25"/>
        <v>0</v>
      </c>
    </row>
    <row r="156" spans="1:22" ht="15" x14ac:dyDescent="0.25">
      <c r="A156" s="98">
        <f t="shared" si="26"/>
        <v>154</v>
      </c>
      <c r="B156" s="86"/>
      <c r="C156" s="86"/>
      <c r="D156" s="86"/>
      <c r="E156" s="86">
        <v>1</v>
      </c>
      <c r="F156" s="96" t="s">
        <v>85</v>
      </c>
      <c r="G156" s="86"/>
      <c r="H156" s="86">
        <v>0</v>
      </c>
      <c r="I156" s="86">
        <v>0</v>
      </c>
      <c r="J156" s="86">
        <v>0</v>
      </c>
      <c r="K156" s="86">
        <v>0</v>
      </c>
      <c r="L156" s="86">
        <v>0</v>
      </c>
      <c r="M156" s="86">
        <f>VLOOKUP(F156,'Прайс Лазер'!$L$3:$M$9,2,0)</f>
        <v>94</v>
      </c>
      <c r="N156" s="86">
        <v>25</v>
      </c>
      <c r="O156" s="95">
        <f>VLOOKUP(E156,'Прайс Лазер'!$I$4:$J$21,2,0)</f>
        <v>1.1499999999999999</v>
      </c>
      <c r="P156" s="86">
        <f>HLOOKUP('Оценка лазера'!$E156,'Прайс Лазер'!$C$26:$T$34,1+VLOOKUP(F156,'Прайс Лазер'!$A$26:$B$34,2,0),0)</f>
        <v>21.849999999999998</v>
      </c>
      <c r="Q156" s="86">
        <f t="shared" si="20"/>
        <v>0</v>
      </c>
      <c r="R156" s="86">
        <f t="shared" si="21"/>
        <v>0</v>
      </c>
      <c r="S156" s="86">
        <f t="shared" si="22"/>
        <v>0</v>
      </c>
      <c r="T156" s="86">
        <f t="shared" si="24"/>
        <v>0</v>
      </c>
      <c r="U156" s="86">
        <f t="shared" si="23"/>
        <v>0</v>
      </c>
      <c r="V156" s="99">
        <f t="shared" si="25"/>
        <v>0</v>
      </c>
    </row>
    <row r="157" spans="1:22" ht="15" x14ac:dyDescent="0.25">
      <c r="A157" s="98">
        <f t="shared" si="26"/>
        <v>155</v>
      </c>
      <c r="B157" s="86"/>
      <c r="C157" s="86"/>
      <c r="D157" s="86"/>
      <c r="E157" s="86">
        <v>1</v>
      </c>
      <c r="F157" s="96" t="s">
        <v>85</v>
      </c>
      <c r="G157" s="86"/>
      <c r="H157" s="86">
        <v>0</v>
      </c>
      <c r="I157" s="86">
        <v>0</v>
      </c>
      <c r="J157" s="86">
        <v>0</v>
      </c>
      <c r="K157" s="86">
        <v>0</v>
      </c>
      <c r="L157" s="86">
        <v>0</v>
      </c>
      <c r="M157" s="86">
        <f>VLOOKUP(F157,'Прайс Лазер'!$L$3:$M$9,2,0)</f>
        <v>94</v>
      </c>
      <c r="N157" s="86">
        <v>25</v>
      </c>
      <c r="O157" s="95">
        <f>VLOOKUP(E157,'Прайс Лазер'!$I$4:$J$21,2,0)</f>
        <v>1.1499999999999999</v>
      </c>
      <c r="P157" s="86">
        <f>HLOOKUP('Оценка лазера'!$E157,'Прайс Лазер'!$C$26:$T$34,1+VLOOKUP(F157,'Прайс Лазер'!$A$26:$B$34,2,0),0)</f>
        <v>21.849999999999998</v>
      </c>
      <c r="Q157" s="86">
        <f t="shared" si="20"/>
        <v>0</v>
      </c>
      <c r="R157" s="86">
        <f t="shared" si="21"/>
        <v>0</v>
      </c>
      <c r="S157" s="86">
        <f t="shared" si="22"/>
        <v>0</v>
      </c>
      <c r="T157" s="86">
        <f t="shared" si="24"/>
        <v>0</v>
      </c>
      <c r="U157" s="86">
        <f t="shared" si="23"/>
        <v>0</v>
      </c>
      <c r="V157" s="99">
        <f t="shared" si="25"/>
        <v>0</v>
      </c>
    </row>
    <row r="158" spans="1:22" ht="15" x14ac:dyDescent="0.25">
      <c r="A158" s="98">
        <f t="shared" si="26"/>
        <v>156</v>
      </c>
      <c r="B158" s="86"/>
      <c r="C158" s="86"/>
      <c r="D158" s="86"/>
      <c r="E158" s="86">
        <v>1</v>
      </c>
      <c r="F158" s="96" t="s">
        <v>85</v>
      </c>
      <c r="G158" s="86"/>
      <c r="H158" s="86">
        <v>0</v>
      </c>
      <c r="I158" s="86">
        <v>0</v>
      </c>
      <c r="J158" s="86">
        <v>0</v>
      </c>
      <c r="K158" s="86">
        <v>0</v>
      </c>
      <c r="L158" s="86">
        <v>0</v>
      </c>
      <c r="M158" s="86">
        <f>VLOOKUP(F158,'Прайс Лазер'!$L$3:$M$9,2,0)</f>
        <v>94</v>
      </c>
      <c r="N158" s="86">
        <v>25</v>
      </c>
      <c r="O158" s="95">
        <f>VLOOKUP(E158,'Прайс Лазер'!$I$4:$J$21,2,0)</f>
        <v>1.1499999999999999</v>
      </c>
      <c r="P158" s="86">
        <f>HLOOKUP('Оценка лазера'!$E158,'Прайс Лазер'!$C$26:$T$34,1+VLOOKUP(F158,'Прайс Лазер'!$A$26:$B$34,2,0),0)</f>
        <v>21.849999999999998</v>
      </c>
      <c r="Q158" s="86">
        <f t="shared" si="20"/>
        <v>0</v>
      </c>
      <c r="R158" s="86">
        <f t="shared" si="21"/>
        <v>0</v>
      </c>
      <c r="S158" s="86">
        <f t="shared" si="22"/>
        <v>0</v>
      </c>
      <c r="T158" s="86">
        <f t="shared" si="24"/>
        <v>0</v>
      </c>
      <c r="U158" s="86">
        <f t="shared" si="23"/>
        <v>0</v>
      </c>
      <c r="V158" s="99">
        <f t="shared" si="25"/>
        <v>0</v>
      </c>
    </row>
    <row r="159" spans="1:22" ht="15" x14ac:dyDescent="0.25">
      <c r="A159" s="98">
        <f t="shared" si="26"/>
        <v>157</v>
      </c>
      <c r="B159" s="86"/>
      <c r="C159" s="86"/>
      <c r="D159" s="86"/>
      <c r="E159" s="86">
        <v>1</v>
      </c>
      <c r="F159" s="96" t="s">
        <v>85</v>
      </c>
      <c r="G159" s="86"/>
      <c r="H159" s="86">
        <v>0</v>
      </c>
      <c r="I159" s="86">
        <v>0</v>
      </c>
      <c r="J159" s="86">
        <v>0</v>
      </c>
      <c r="K159" s="86">
        <v>0</v>
      </c>
      <c r="L159" s="86">
        <v>0</v>
      </c>
      <c r="M159" s="86">
        <f>VLOOKUP(F159,'Прайс Лазер'!$L$3:$M$9,2,0)</f>
        <v>94</v>
      </c>
      <c r="N159" s="86">
        <v>25</v>
      </c>
      <c r="O159" s="95">
        <f>VLOOKUP(E159,'Прайс Лазер'!$I$4:$J$21,2,0)</f>
        <v>1.1499999999999999</v>
      </c>
      <c r="P159" s="86">
        <f>HLOOKUP('Оценка лазера'!$E159,'Прайс Лазер'!$C$26:$T$34,1+VLOOKUP(F159,'Прайс Лазер'!$A$26:$B$34,2,0),0)</f>
        <v>21.849999999999998</v>
      </c>
      <c r="Q159" s="86">
        <f t="shared" si="20"/>
        <v>0</v>
      </c>
      <c r="R159" s="86">
        <f t="shared" si="21"/>
        <v>0</v>
      </c>
      <c r="S159" s="86">
        <f t="shared" si="22"/>
        <v>0</v>
      </c>
      <c r="T159" s="86">
        <f t="shared" si="24"/>
        <v>0</v>
      </c>
      <c r="U159" s="86">
        <f t="shared" si="23"/>
        <v>0</v>
      </c>
      <c r="V159" s="99">
        <f t="shared" si="25"/>
        <v>0</v>
      </c>
    </row>
    <row r="160" spans="1:22" ht="15" x14ac:dyDescent="0.25">
      <c r="A160" s="98">
        <f t="shared" si="26"/>
        <v>158</v>
      </c>
      <c r="B160" s="86"/>
      <c r="C160" s="86"/>
      <c r="D160" s="86"/>
      <c r="E160" s="86">
        <v>1</v>
      </c>
      <c r="F160" s="96" t="s">
        <v>85</v>
      </c>
      <c r="G160" s="86"/>
      <c r="H160" s="86">
        <v>0</v>
      </c>
      <c r="I160" s="86">
        <v>0</v>
      </c>
      <c r="J160" s="86">
        <v>0</v>
      </c>
      <c r="K160" s="86">
        <v>0</v>
      </c>
      <c r="L160" s="86">
        <v>0</v>
      </c>
      <c r="M160" s="86">
        <f>VLOOKUP(F160,'Прайс Лазер'!$L$3:$M$9,2,0)</f>
        <v>94</v>
      </c>
      <c r="N160" s="86">
        <v>25</v>
      </c>
      <c r="O160" s="95">
        <f>VLOOKUP(E160,'Прайс Лазер'!$I$4:$J$21,2,0)</f>
        <v>1.1499999999999999</v>
      </c>
      <c r="P160" s="86">
        <f>HLOOKUP('Оценка лазера'!$E160,'Прайс Лазер'!$C$26:$T$34,1+VLOOKUP(F160,'Прайс Лазер'!$A$26:$B$34,2,0),0)</f>
        <v>21.849999999999998</v>
      </c>
      <c r="Q160" s="86">
        <f t="shared" si="20"/>
        <v>0</v>
      </c>
      <c r="R160" s="86">
        <f t="shared" si="21"/>
        <v>0</v>
      </c>
      <c r="S160" s="86">
        <f t="shared" si="22"/>
        <v>0</v>
      </c>
      <c r="T160" s="86">
        <f t="shared" si="24"/>
        <v>0</v>
      </c>
      <c r="U160" s="86">
        <f t="shared" si="23"/>
        <v>0</v>
      </c>
      <c r="V160" s="99">
        <f t="shared" si="25"/>
        <v>0</v>
      </c>
    </row>
    <row r="161" spans="1:22" ht="15" x14ac:dyDescent="0.25">
      <c r="A161" s="98">
        <f t="shared" si="26"/>
        <v>159</v>
      </c>
      <c r="B161" s="86"/>
      <c r="C161" s="86"/>
      <c r="D161" s="86"/>
      <c r="E161" s="86">
        <v>1</v>
      </c>
      <c r="F161" s="96" t="s">
        <v>85</v>
      </c>
      <c r="G161" s="86"/>
      <c r="H161" s="86">
        <v>0</v>
      </c>
      <c r="I161" s="86">
        <v>0</v>
      </c>
      <c r="J161" s="86">
        <v>0</v>
      </c>
      <c r="K161" s="86">
        <v>0</v>
      </c>
      <c r="L161" s="86">
        <v>0</v>
      </c>
      <c r="M161" s="86">
        <f>VLOOKUP(F161,'Прайс Лазер'!$L$3:$M$9,2,0)</f>
        <v>94</v>
      </c>
      <c r="N161" s="86">
        <v>25</v>
      </c>
      <c r="O161" s="95">
        <f>VLOOKUP(E161,'Прайс Лазер'!$I$4:$J$21,2,0)</f>
        <v>1.1499999999999999</v>
      </c>
      <c r="P161" s="86">
        <f>HLOOKUP('Оценка лазера'!$E161,'Прайс Лазер'!$C$26:$T$34,1+VLOOKUP(F161,'Прайс Лазер'!$A$26:$B$34,2,0),0)</f>
        <v>21.849999999999998</v>
      </c>
      <c r="Q161" s="86">
        <f t="shared" si="20"/>
        <v>0</v>
      </c>
      <c r="R161" s="86">
        <f t="shared" si="21"/>
        <v>0</v>
      </c>
      <c r="S161" s="86">
        <f t="shared" si="22"/>
        <v>0</v>
      </c>
      <c r="T161" s="86">
        <f t="shared" si="24"/>
        <v>0</v>
      </c>
      <c r="U161" s="86">
        <f t="shared" si="23"/>
        <v>0</v>
      </c>
      <c r="V161" s="99">
        <f t="shared" si="25"/>
        <v>0</v>
      </c>
    </row>
    <row r="162" spans="1:22" ht="15" x14ac:dyDescent="0.25">
      <c r="A162" s="98">
        <f t="shared" si="26"/>
        <v>160</v>
      </c>
      <c r="B162" s="86"/>
      <c r="C162" s="86"/>
      <c r="D162" s="86"/>
      <c r="E162" s="86">
        <v>1</v>
      </c>
      <c r="F162" s="96" t="s">
        <v>85</v>
      </c>
      <c r="G162" s="86"/>
      <c r="H162" s="86">
        <v>0</v>
      </c>
      <c r="I162" s="86">
        <v>0</v>
      </c>
      <c r="J162" s="86">
        <v>0</v>
      </c>
      <c r="K162" s="86">
        <v>0</v>
      </c>
      <c r="L162" s="86">
        <v>0</v>
      </c>
      <c r="M162" s="86">
        <f>VLOOKUP(F162,'Прайс Лазер'!$L$3:$M$9,2,0)</f>
        <v>94</v>
      </c>
      <c r="N162" s="86">
        <v>25</v>
      </c>
      <c r="O162" s="95">
        <f>VLOOKUP(E162,'Прайс Лазер'!$I$4:$J$21,2,0)</f>
        <v>1.1499999999999999</v>
      </c>
      <c r="P162" s="86">
        <f>HLOOKUP('Оценка лазера'!$E162,'Прайс Лазер'!$C$26:$T$34,1+VLOOKUP(F162,'Прайс Лазер'!$A$26:$B$34,2,0),0)</f>
        <v>21.849999999999998</v>
      </c>
      <c r="Q162" s="86">
        <f t="shared" si="20"/>
        <v>0</v>
      </c>
      <c r="R162" s="86">
        <f t="shared" si="21"/>
        <v>0</v>
      </c>
      <c r="S162" s="86">
        <f t="shared" si="22"/>
        <v>0</v>
      </c>
      <c r="T162" s="86">
        <f t="shared" si="24"/>
        <v>0</v>
      </c>
      <c r="U162" s="86">
        <f t="shared" si="23"/>
        <v>0</v>
      </c>
      <c r="V162" s="99">
        <f t="shared" si="25"/>
        <v>0</v>
      </c>
    </row>
    <row r="163" spans="1:22" ht="15" x14ac:dyDescent="0.25">
      <c r="A163" s="98">
        <f t="shared" si="26"/>
        <v>161</v>
      </c>
      <c r="B163" s="86"/>
      <c r="C163" s="86"/>
      <c r="D163" s="86"/>
      <c r="E163" s="86">
        <v>1</v>
      </c>
      <c r="F163" s="96" t="s">
        <v>85</v>
      </c>
      <c r="G163" s="86"/>
      <c r="H163" s="86">
        <v>0</v>
      </c>
      <c r="I163" s="86">
        <v>0</v>
      </c>
      <c r="J163" s="86">
        <v>0</v>
      </c>
      <c r="K163" s="86">
        <v>0</v>
      </c>
      <c r="L163" s="86">
        <v>0</v>
      </c>
      <c r="M163" s="86">
        <f>VLOOKUP(F163,'Прайс Лазер'!$L$3:$M$9,2,0)</f>
        <v>94</v>
      </c>
      <c r="N163" s="86">
        <v>25</v>
      </c>
      <c r="O163" s="95">
        <f>VLOOKUP(E163,'Прайс Лазер'!$I$4:$J$21,2,0)</f>
        <v>1.1499999999999999</v>
      </c>
      <c r="P163" s="86">
        <f>HLOOKUP('Оценка лазера'!$E163,'Прайс Лазер'!$C$26:$T$34,1+VLOOKUP(F163,'Прайс Лазер'!$A$26:$B$34,2,0),0)</f>
        <v>21.849999999999998</v>
      </c>
      <c r="Q163" s="86">
        <f t="shared" si="20"/>
        <v>0</v>
      </c>
      <c r="R163" s="86">
        <f t="shared" si="21"/>
        <v>0</v>
      </c>
      <c r="S163" s="86">
        <f t="shared" si="22"/>
        <v>0</v>
      </c>
      <c r="T163" s="86">
        <f t="shared" si="24"/>
        <v>0</v>
      </c>
      <c r="U163" s="86">
        <f t="shared" si="23"/>
        <v>0</v>
      </c>
      <c r="V163" s="99">
        <f t="shared" si="25"/>
        <v>0</v>
      </c>
    </row>
    <row r="164" spans="1:22" ht="15" x14ac:dyDescent="0.25">
      <c r="A164" s="98">
        <f t="shared" si="26"/>
        <v>162</v>
      </c>
      <c r="B164" s="86"/>
      <c r="C164" s="86"/>
      <c r="D164" s="86"/>
      <c r="E164" s="86">
        <v>1</v>
      </c>
      <c r="F164" s="96" t="s">
        <v>85</v>
      </c>
      <c r="G164" s="86"/>
      <c r="H164" s="86">
        <v>0</v>
      </c>
      <c r="I164" s="86">
        <v>0</v>
      </c>
      <c r="J164" s="86">
        <v>0</v>
      </c>
      <c r="K164" s="86">
        <v>0</v>
      </c>
      <c r="L164" s="86">
        <v>0</v>
      </c>
      <c r="M164" s="86">
        <f>VLOOKUP(F164,'Прайс Лазер'!$L$3:$M$9,2,0)</f>
        <v>94</v>
      </c>
      <c r="N164" s="86">
        <v>25</v>
      </c>
      <c r="O164" s="95">
        <f>VLOOKUP(E164,'Прайс Лазер'!$I$4:$J$21,2,0)</f>
        <v>1.1499999999999999</v>
      </c>
      <c r="P164" s="86">
        <f>HLOOKUP('Оценка лазера'!$E164,'Прайс Лазер'!$C$26:$T$34,1+VLOOKUP(F164,'Прайс Лазер'!$A$26:$B$34,2,0),0)</f>
        <v>21.849999999999998</v>
      </c>
      <c r="Q164" s="86">
        <f t="shared" si="20"/>
        <v>0</v>
      </c>
      <c r="R164" s="86">
        <f t="shared" si="21"/>
        <v>0</v>
      </c>
      <c r="S164" s="86">
        <f t="shared" si="22"/>
        <v>0</v>
      </c>
      <c r="T164" s="86">
        <f t="shared" si="24"/>
        <v>0</v>
      </c>
      <c r="U164" s="86">
        <f t="shared" si="23"/>
        <v>0</v>
      </c>
      <c r="V164" s="99">
        <f t="shared" si="25"/>
        <v>0</v>
      </c>
    </row>
    <row r="165" spans="1:22" ht="15" x14ac:dyDescent="0.25">
      <c r="A165" s="98">
        <f t="shared" si="26"/>
        <v>163</v>
      </c>
      <c r="B165" s="86"/>
      <c r="C165" s="86"/>
      <c r="D165" s="86"/>
      <c r="E165" s="86">
        <v>1</v>
      </c>
      <c r="F165" s="96" t="s">
        <v>85</v>
      </c>
      <c r="G165" s="86"/>
      <c r="H165" s="86">
        <v>0</v>
      </c>
      <c r="I165" s="86">
        <v>0</v>
      </c>
      <c r="J165" s="86">
        <v>0</v>
      </c>
      <c r="K165" s="86">
        <v>0</v>
      </c>
      <c r="L165" s="86">
        <v>0</v>
      </c>
      <c r="M165" s="86">
        <f>VLOOKUP(F165,'Прайс Лазер'!$L$3:$M$9,2,0)</f>
        <v>94</v>
      </c>
      <c r="N165" s="86">
        <v>25</v>
      </c>
      <c r="O165" s="95">
        <f>VLOOKUP(E165,'Прайс Лазер'!$I$4:$J$21,2,0)</f>
        <v>1.1499999999999999</v>
      </c>
      <c r="P165" s="86">
        <f>HLOOKUP('Оценка лазера'!$E165,'Прайс Лазер'!$C$26:$T$34,1+VLOOKUP(F165,'Прайс Лазер'!$A$26:$B$34,2,0),0)</f>
        <v>21.849999999999998</v>
      </c>
      <c r="Q165" s="86">
        <f t="shared" si="20"/>
        <v>0</v>
      </c>
      <c r="R165" s="86">
        <f t="shared" si="21"/>
        <v>0</v>
      </c>
      <c r="S165" s="86">
        <f t="shared" si="22"/>
        <v>0</v>
      </c>
      <c r="T165" s="86">
        <f t="shared" si="24"/>
        <v>0</v>
      </c>
      <c r="U165" s="86">
        <f t="shared" si="23"/>
        <v>0</v>
      </c>
      <c r="V165" s="99">
        <f t="shared" si="25"/>
        <v>0</v>
      </c>
    </row>
    <row r="166" spans="1:22" ht="15" x14ac:dyDescent="0.25">
      <c r="A166" s="98">
        <f t="shared" si="26"/>
        <v>164</v>
      </c>
      <c r="B166" s="86"/>
      <c r="C166" s="86"/>
      <c r="D166" s="86"/>
      <c r="E166" s="86">
        <v>1</v>
      </c>
      <c r="F166" s="96" t="s">
        <v>85</v>
      </c>
      <c r="G166" s="86"/>
      <c r="H166" s="86">
        <v>0</v>
      </c>
      <c r="I166" s="86">
        <v>0</v>
      </c>
      <c r="J166" s="86">
        <v>0</v>
      </c>
      <c r="K166" s="86">
        <v>0</v>
      </c>
      <c r="L166" s="86">
        <v>0</v>
      </c>
      <c r="M166" s="86">
        <f>VLOOKUP(F166,'Прайс Лазер'!$L$3:$M$9,2,0)</f>
        <v>94</v>
      </c>
      <c r="N166" s="86">
        <v>25</v>
      </c>
      <c r="O166" s="95">
        <f>VLOOKUP(E166,'Прайс Лазер'!$I$4:$J$21,2,0)</f>
        <v>1.1499999999999999</v>
      </c>
      <c r="P166" s="86">
        <f>HLOOKUP('Оценка лазера'!$E166,'Прайс Лазер'!$C$26:$T$34,1+VLOOKUP(F166,'Прайс Лазер'!$A$26:$B$34,2,0),0)</f>
        <v>21.849999999999998</v>
      </c>
      <c r="Q166" s="86">
        <f t="shared" si="20"/>
        <v>0</v>
      </c>
      <c r="R166" s="86">
        <f t="shared" si="21"/>
        <v>0</v>
      </c>
      <c r="S166" s="86">
        <f t="shared" si="22"/>
        <v>0</v>
      </c>
      <c r="T166" s="86">
        <f t="shared" si="24"/>
        <v>0</v>
      </c>
      <c r="U166" s="86">
        <f t="shared" si="23"/>
        <v>0</v>
      </c>
      <c r="V166" s="99">
        <f t="shared" si="25"/>
        <v>0</v>
      </c>
    </row>
    <row r="167" spans="1:22" ht="15" x14ac:dyDescent="0.25">
      <c r="A167" s="98">
        <f t="shared" si="26"/>
        <v>165</v>
      </c>
      <c r="B167" s="86"/>
      <c r="C167" s="86"/>
      <c r="D167" s="86"/>
      <c r="E167" s="86">
        <v>1</v>
      </c>
      <c r="F167" s="96" t="s">
        <v>85</v>
      </c>
      <c r="G167" s="86"/>
      <c r="H167" s="86">
        <v>0</v>
      </c>
      <c r="I167" s="86">
        <v>0</v>
      </c>
      <c r="J167" s="86">
        <v>0</v>
      </c>
      <c r="K167" s="86">
        <v>0</v>
      </c>
      <c r="L167" s="86">
        <v>0</v>
      </c>
      <c r="M167" s="86">
        <f>VLOOKUP(F167,'Прайс Лазер'!$L$3:$M$9,2,0)</f>
        <v>94</v>
      </c>
      <c r="N167" s="86">
        <v>25</v>
      </c>
      <c r="O167" s="95">
        <f>VLOOKUP(E167,'Прайс Лазер'!$I$4:$J$21,2,0)</f>
        <v>1.1499999999999999</v>
      </c>
      <c r="P167" s="86">
        <f>HLOOKUP('Оценка лазера'!$E167,'Прайс Лазер'!$C$26:$T$34,1+VLOOKUP(F167,'Прайс Лазер'!$A$26:$B$34,2,0),0)</f>
        <v>21.849999999999998</v>
      </c>
      <c r="Q167" s="86">
        <f t="shared" si="20"/>
        <v>0</v>
      </c>
      <c r="R167" s="86">
        <f t="shared" si="21"/>
        <v>0</v>
      </c>
      <c r="S167" s="86">
        <f t="shared" si="22"/>
        <v>0</v>
      </c>
      <c r="T167" s="86">
        <f t="shared" si="24"/>
        <v>0</v>
      </c>
      <c r="U167" s="86">
        <f t="shared" si="23"/>
        <v>0</v>
      </c>
      <c r="V167" s="99">
        <f t="shared" si="25"/>
        <v>0</v>
      </c>
    </row>
    <row r="168" spans="1:22" ht="15" x14ac:dyDescent="0.25">
      <c r="A168" s="98">
        <f t="shared" si="26"/>
        <v>166</v>
      </c>
      <c r="B168" s="86"/>
      <c r="C168" s="86"/>
      <c r="D168" s="86"/>
      <c r="E168" s="86">
        <v>1</v>
      </c>
      <c r="F168" s="96" t="s">
        <v>85</v>
      </c>
      <c r="G168" s="86"/>
      <c r="H168" s="86">
        <v>0</v>
      </c>
      <c r="I168" s="86">
        <v>0</v>
      </c>
      <c r="J168" s="86">
        <v>0</v>
      </c>
      <c r="K168" s="86">
        <v>0</v>
      </c>
      <c r="L168" s="86">
        <v>0</v>
      </c>
      <c r="M168" s="86">
        <f>VLOOKUP(F168,'Прайс Лазер'!$L$3:$M$9,2,0)</f>
        <v>94</v>
      </c>
      <c r="N168" s="86">
        <v>25</v>
      </c>
      <c r="O168" s="95">
        <f>VLOOKUP(E168,'Прайс Лазер'!$I$4:$J$21,2,0)</f>
        <v>1.1499999999999999</v>
      </c>
      <c r="P168" s="86">
        <f>HLOOKUP('Оценка лазера'!$E168,'Прайс Лазер'!$C$26:$T$34,1+VLOOKUP(F168,'Прайс Лазер'!$A$26:$B$34,2,0),0)</f>
        <v>21.849999999999998</v>
      </c>
      <c r="Q168" s="86">
        <f t="shared" si="20"/>
        <v>0</v>
      </c>
      <c r="R168" s="86">
        <f t="shared" si="21"/>
        <v>0</v>
      </c>
      <c r="S168" s="86">
        <f t="shared" si="22"/>
        <v>0</v>
      </c>
      <c r="T168" s="86">
        <f t="shared" si="24"/>
        <v>0</v>
      </c>
      <c r="U168" s="86">
        <f t="shared" si="23"/>
        <v>0</v>
      </c>
      <c r="V168" s="99">
        <f t="shared" si="25"/>
        <v>0</v>
      </c>
    </row>
    <row r="169" spans="1:22" ht="15" x14ac:dyDescent="0.25">
      <c r="A169" s="98">
        <f t="shared" si="26"/>
        <v>167</v>
      </c>
      <c r="B169" s="86"/>
      <c r="C169" s="86"/>
      <c r="D169" s="86"/>
      <c r="E169" s="86">
        <v>1</v>
      </c>
      <c r="F169" s="96" t="s">
        <v>85</v>
      </c>
      <c r="G169" s="86"/>
      <c r="H169" s="86">
        <v>0</v>
      </c>
      <c r="I169" s="86">
        <v>0</v>
      </c>
      <c r="J169" s="86">
        <v>0</v>
      </c>
      <c r="K169" s="86">
        <v>0</v>
      </c>
      <c r="L169" s="86">
        <v>0</v>
      </c>
      <c r="M169" s="86">
        <f>VLOOKUP(F169,'Прайс Лазер'!$L$3:$M$9,2,0)</f>
        <v>94</v>
      </c>
      <c r="N169" s="86">
        <v>25</v>
      </c>
      <c r="O169" s="95">
        <f>VLOOKUP(E169,'Прайс Лазер'!$I$4:$J$21,2,0)</f>
        <v>1.1499999999999999</v>
      </c>
      <c r="P169" s="86">
        <f>HLOOKUP('Оценка лазера'!$E169,'Прайс Лазер'!$C$26:$T$34,1+VLOOKUP(F169,'Прайс Лазер'!$A$26:$B$34,2,0),0)</f>
        <v>21.849999999999998</v>
      </c>
      <c r="Q169" s="86">
        <f t="shared" si="20"/>
        <v>0</v>
      </c>
      <c r="R169" s="86">
        <f t="shared" si="21"/>
        <v>0</v>
      </c>
      <c r="S169" s="86">
        <f t="shared" si="22"/>
        <v>0</v>
      </c>
      <c r="T169" s="86">
        <f t="shared" si="24"/>
        <v>0</v>
      </c>
      <c r="U169" s="86">
        <f t="shared" si="23"/>
        <v>0</v>
      </c>
      <c r="V169" s="99">
        <f t="shared" si="25"/>
        <v>0</v>
      </c>
    </row>
    <row r="170" spans="1:22" ht="15" x14ac:dyDescent="0.25">
      <c r="A170" s="98">
        <f t="shared" si="26"/>
        <v>168</v>
      </c>
      <c r="B170" s="86"/>
      <c r="C170" s="86"/>
      <c r="D170" s="86"/>
      <c r="E170" s="86">
        <v>1</v>
      </c>
      <c r="F170" s="96" t="s">
        <v>85</v>
      </c>
      <c r="G170" s="86"/>
      <c r="H170" s="86">
        <v>0</v>
      </c>
      <c r="I170" s="86">
        <v>0</v>
      </c>
      <c r="J170" s="86">
        <v>0</v>
      </c>
      <c r="K170" s="86">
        <v>0</v>
      </c>
      <c r="L170" s="86">
        <v>0</v>
      </c>
      <c r="M170" s="86">
        <f>VLOOKUP(F170,'Прайс Лазер'!$L$3:$M$9,2,0)</f>
        <v>94</v>
      </c>
      <c r="N170" s="86">
        <v>25</v>
      </c>
      <c r="O170" s="95">
        <f>VLOOKUP(E170,'Прайс Лазер'!$I$4:$J$21,2,0)</f>
        <v>1.1499999999999999</v>
      </c>
      <c r="P170" s="86">
        <f>HLOOKUP('Оценка лазера'!$E170,'Прайс Лазер'!$C$26:$T$34,1+VLOOKUP(F170,'Прайс Лазер'!$A$26:$B$34,2,0),0)</f>
        <v>21.849999999999998</v>
      </c>
      <c r="Q170" s="86">
        <f t="shared" si="20"/>
        <v>0</v>
      </c>
      <c r="R170" s="86">
        <f t="shared" si="21"/>
        <v>0</v>
      </c>
      <c r="S170" s="86">
        <f t="shared" si="22"/>
        <v>0</v>
      </c>
      <c r="T170" s="86">
        <f t="shared" si="24"/>
        <v>0</v>
      </c>
      <c r="U170" s="86">
        <f t="shared" si="23"/>
        <v>0</v>
      </c>
      <c r="V170" s="99">
        <f t="shared" si="25"/>
        <v>0</v>
      </c>
    </row>
    <row r="171" spans="1:22" ht="15" x14ac:dyDescent="0.25">
      <c r="A171" s="98">
        <f t="shared" si="26"/>
        <v>169</v>
      </c>
      <c r="B171" s="86"/>
      <c r="C171" s="86"/>
      <c r="D171" s="86"/>
      <c r="E171" s="86">
        <v>1</v>
      </c>
      <c r="F171" s="96" t="s">
        <v>85</v>
      </c>
      <c r="G171" s="86"/>
      <c r="H171" s="86">
        <v>0</v>
      </c>
      <c r="I171" s="86">
        <v>0</v>
      </c>
      <c r="J171" s="86">
        <v>0</v>
      </c>
      <c r="K171" s="86">
        <v>0</v>
      </c>
      <c r="L171" s="86">
        <v>0</v>
      </c>
      <c r="M171" s="86">
        <f>VLOOKUP(F171,'Прайс Лазер'!$L$3:$M$9,2,0)</f>
        <v>94</v>
      </c>
      <c r="N171" s="86">
        <v>25</v>
      </c>
      <c r="O171" s="95">
        <f>VLOOKUP(E171,'Прайс Лазер'!$I$4:$J$21,2,0)</f>
        <v>1.1499999999999999</v>
      </c>
      <c r="P171" s="86">
        <f>HLOOKUP('Оценка лазера'!$E171,'Прайс Лазер'!$C$26:$T$34,1+VLOOKUP(F171,'Прайс Лазер'!$A$26:$B$34,2,0),0)</f>
        <v>21.849999999999998</v>
      </c>
      <c r="Q171" s="86">
        <f t="shared" si="20"/>
        <v>0</v>
      </c>
      <c r="R171" s="86">
        <f t="shared" si="21"/>
        <v>0</v>
      </c>
      <c r="S171" s="86">
        <f t="shared" si="22"/>
        <v>0</v>
      </c>
      <c r="T171" s="86">
        <f t="shared" si="24"/>
        <v>0</v>
      </c>
      <c r="U171" s="86">
        <f t="shared" si="23"/>
        <v>0</v>
      </c>
      <c r="V171" s="99">
        <f t="shared" si="25"/>
        <v>0</v>
      </c>
    </row>
    <row r="172" spans="1:22" ht="15" x14ac:dyDescent="0.25">
      <c r="A172" s="98">
        <f t="shared" si="26"/>
        <v>170</v>
      </c>
      <c r="B172" s="86"/>
      <c r="C172" s="86"/>
      <c r="D172" s="86"/>
      <c r="E172" s="86">
        <v>1</v>
      </c>
      <c r="F172" s="96" t="s">
        <v>85</v>
      </c>
      <c r="G172" s="86"/>
      <c r="H172" s="86">
        <v>0</v>
      </c>
      <c r="I172" s="86">
        <v>0</v>
      </c>
      <c r="J172" s="86">
        <v>0</v>
      </c>
      <c r="K172" s="86">
        <v>0</v>
      </c>
      <c r="L172" s="86">
        <v>0</v>
      </c>
      <c r="M172" s="86">
        <f>VLOOKUP(F172,'Прайс Лазер'!$L$3:$M$9,2,0)</f>
        <v>94</v>
      </c>
      <c r="N172" s="86">
        <v>25</v>
      </c>
      <c r="O172" s="95">
        <f>VLOOKUP(E172,'Прайс Лазер'!$I$4:$J$21,2,0)</f>
        <v>1.1499999999999999</v>
      </c>
      <c r="P172" s="86">
        <f>HLOOKUP('Оценка лазера'!$E172,'Прайс Лазер'!$C$26:$T$34,1+VLOOKUP(F172,'Прайс Лазер'!$A$26:$B$34,2,0),0)</f>
        <v>21.849999999999998</v>
      </c>
      <c r="Q172" s="86">
        <f t="shared" si="20"/>
        <v>0</v>
      </c>
      <c r="R172" s="86">
        <f t="shared" si="21"/>
        <v>0</v>
      </c>
      <c r="S172" s="86">
        <f t="shared" si="22"/>
        <v>0</v>
      </c>
      <c r="T172" s="86">
        <f t="shared" si="24"/>
        <v>0</v>
      </c>
      <c r="U172" s="86">
        <f t="shared" si="23"/>
        <v>0</v>
      </c>
      <c r="V172" s="99">
        <f t="shared" si="25"/>
        <v>0</v>
      </c>
    </row>
    <row r="173" spans="1:22" ht="15" x14ac:dyDescent="0.25">
      <c r="A173" s="98">
        <f t="shared" si="26"/>
        <v>171</v>
      </c>
      <c r="B173" s="86"/>
      <c r="C173" s="86"/>
      <c r="D173" s="86"/>
      <c r="E173" s="86">
        <v>1</v>
      </c>
      <c r="F173" s="96" t="s">
        <v>85</v>
      </c>
      <c r="G173" s="86"/>
      <c r="H173" s="86">
        <v>0</v>
      </c>
      <c r="I173" s="86">
        <v>0</v>
      </c>
      <c r="J173" s="86">
        <v>0</v>
      </c>
      <c r="K173" s="86">
        <v>0</v>
      </c>
      <c r="L173" s="86">
        <v>0</v>
      </c>
      <c r="M173" s="86">
        <f>VLOOKUP(F173,'Прайс Лазер'!$L$3:$M$9,2,0)</f>
        <v>94</v>
      </c>
      <c r="N173" s="86">
        <v>25</v>
      </c>
      <c r="O173" s="95">
        <f>VLOOKUP(E173,'Прайс Лазер'!$I$4:$J$21,2,0)</f>
        <v>1.1499999999999999</v>
      </c>
      <c r="P173" s="86">
        <f>HLOOKUP('Оценка лазера'!$E173,'Прайс Лазер'!$C$26:$T$34,1+VLOOKUP(F173,'Прайс Лазер'!$A$26:$B$34,2,0),0)</f>
        <v>21.849999999999998</v>
      </c>
      <c r="Q173" s="86">
        <f t="shared" si="20"/>
        <v>0</v>
      </c>
      <c r="R173" s="86">
        <f t="shared" si="21"/>
        <v>0</v>
      </c>
      <c r="S173" s="86">
        <f t="shared" si="22"/>
        <v>0</v>
      </c>
      <c r="T173" s="86">
        <f t="shared" si="24"/>
        <v>0</v>
      </c>
      <c r="U173" s="86">
        <f t="shared" si="23"/>
        <v>0</v>
      </c>
      <c r="V173" s="99">
        <f t="shared" si="25"/>
        <v>0</v>
      </c>
    </row>
    <row r="174" spans="1:22" ht="15" x14ac:dyDescent="0.25">
      <c r="A174" s="98">
        <f t="shared" si="26"/>
        <v>172</v>
      </c>
      <c r="B174" s="86"/>
      <c r="C174" s="86"/>
      <c r="D174" s="86"/>
      <c r="E174" s="86">
        <v>1</v>
      </c>
      <c r="F174" s="96" t="s">
        <v>85</v>
      </c>
      <c r="G174" s="86"/>
      <c r="H174" s="86">
        <v>0</v>
      </c>
      <c r="I174" s="86">
        <v>0</v>
      </c>
      <c r="J174" s="86">
        <v>0</v>
      </c>
      <c r="K174" s="86">
        <v>0</v>
      </c>
      <c r="L174" s="86">
        <v>0</v>
      </c>
      <c r="M174" s="86">
        <f>VLOOKUP(F174,'Прайс Лазер'!$L$3:$M$9,2,0)</f>
        <v>94</v>
      </c>
      <c r="N174" s="86">
        <v>25</v>
      </c>
      <c r="O174" s="95">
        <f>VLOOKUP(E174,'Прайс Лазер'!$I$4:$J$21,2,0)</f>
        <v>1.1499999999999999</v>
      </c>
      <c r="P174" s="86">
        <f>HLOOKUP('Оценка лазера'!$E174,'Прайс Лазер'!$C$26:$T$34,1+VLOOKUP(F174,'Прайс Лазер'!$A$26:$B$34,2,0),0)</f>
        <v>21.849999999999998</v>
      </c>
      <c r="Q174" s="86">
        <f t="shared" si="20"/>
        <v>0</v>
      </c>
      <c r="R174" s="86">
        <f t="shared" si="21"/>
        <v>0</v>
      </c>
      <c r="S174" s="86">
        <f t="shared" si="22"/>
        <v>0</v>
      </c>
      <c r="T174" s="86">
        <f t="shared" si="24"/>
        <v>0</v>
      </c>
      <c r="U174" s="86">
        <f t="shared" si="23"/>
        <v>0</v>
      </c>
      <c r="V174" s="99">
        <f t="shared" si="25"/>
        <v>0</v>
      </c>
    </row>
    <row r="175" spans="1:22" ht="15" x14ac:dyDescent="0.25">
      <c r="A175" s="98">
        <f t="shared" si="26"/>
        <v>173</v>
      </c>
      <c r="B175" s="86"/>
      <c r="C175" s="86"/>
      <c r="D175" s="86"/>
      <c r="E175" s="86">
        <v>1</v>
      </c>
      <c r="F175" s="96" t="s">
        <v>85</v>
      </c>
      <c r="G175" s="86"/>
      <c r="H175" s="86">
        <v>0</v>
      </c>
      <c r="I175" s="86">
        <v>0</v>
      </c>
      <c r="J175" s="86">
        <v>0</v>
      </c>
      <c r="K175" s="86">
        <v>0</v>
      </c>
      <c r="L175" s="86">
        <v>0</v>
      </c>
      <c r="M175" s="86">
        <f>VLOOKUP(F175,'Прайс Лазер'!$L$3:$M$9,2,0)</f>
        <v>94</v>
      </c>
      <c r="N175" s="86">
        <v>25</v>
      </c>
      <c r="O175" s="95">
        <f>VLOOKUP(E175,'Прайс Лазер'!$I$4:$J$21,2,0)</f>
        <v>1.1499999999999999</v>
      </c>
      <c r="P175" s="86">
        <f>HLOOKUP('Оценка лазера'!$E175,'Прайс Лазер'!$C$26:$T$34,1+VLOOKUP(F175,'Прайс Лазер'!$A$26:$B$34,2,0),0)</f>
        <v>21.849999999999998</v>
      </c>
      <c r="Q175" s="86">
        <f t="shared" si="20"/>
        <v>0</v>
      </c>
      <c r="R175" s="86">
        <f t="shared" si="21"/>
        <v>0</v>
      </c>
      <c r="S175" s="86">
        <f t="shared" si="22"/>
        <v>0</v>
      </c>
      <c r="T175" s="86">
        <f t="shared" si="24"/>
        <v>0</v>
      </c>
      <c r="U175" s="86">
        <f t="shared" si="23"/>
        <v>0</v>
      </c>
      <c r="V175" s="99">
        <f t="shared" si="25"/>
        <v>0</v>
      </c>
    </row>
    <row r="176" spans="1:22" ht="15" x14ac:dyDescent="0.25">
      <c r="A176" s="98">
        <f t="shared" si="26"/>
        <v>174</v>
      </c>
      <c r="B176" s="86"/>
      <c r="C176" s="86"/>
      <c r="D176" s="86"/>
      <c r="E176" s="86">
        <v>1</v>
      </c>
      <c r="F176" s="96" t="s">
        <v>85</v>
      </c>
      <c r="G176" s="86"/>
      <c r="H176" s="86">
        <v>0</v>
      </c>
      <c r="I176" s="86">
        <v>0</v>
      </c>
      <c r="J176" s="86">
        <v>0</v>
      </c>
      <c r="K176" s="86">
        <v>0</v>
      </c>
      <c r="L176" s="86">
        <v>0</v>
      </c>
      <c r="M176" s="86">
        <f>VLOOKUP(F176,'Прайс Лазер'!$L$3:$M$9,2,0)</f>
        <v>94</v>
      </c>
      <c r="N176" s="86">
        <v>25</v>
      </c>
      <c r="O176" s="95">
        <f>VLOOKUP(E176,'Прайс Лазер'!$I$4:$J$21,2,0)</f>
        <v>1.1499999999999999</v>
      </c>
      <c r="P176" s="86">
        <f>HLOOKUP('Оценка лазера'!$E176,'Прайс Лазер'!$C$26:$T$34,1+VLOOKUP(F176,'Прайс Лазер'!$A$26:$B$34,2,0),0)</f>
        <v>21.849999999999998</v>
      </c>
      <c r="Q176" s="86">
        <f t="shared" si="20"/>
        <v>0</v>
      </c>
      <c r="R176" s="86">
        <f t="shared" si="21"/>
        <v>0</v>
      </c>
      <c r="S176" s="86">
        <f t="shared" si="22"/>
        <v>0</v>
      </c>
      <c r="T176" s="86">
        <f t="shared" si="24"/>
        <v>0</v>
      </c>
      <c r="U176" s="86">
        <f t="shared" si="23"/>
        <v>0</v>
      </c>
      <c r="V176" s="99">
        <f t="shared" si="25"/>
        <v>0</v>
      </c>
    </row>
    <row r="177" spans="1:22" ht="15" x14ac:dyDescent="0.25">
      <c r="A177" s="98">
        <f t="shared" si="26"/>
        <v>175</v>
      </c>
      <c r="B177" s="86"/>
      <c r="C177" s="86"/>
      <c r="D177" s="86"/>
      <c r="E177" s="86">
        <v>1</v>
      </c>
      <c r="F177" s="96" t="s">
        <v>85</v>
      </c>
      <c r="G177" s="86"/>
      <c r="H177" s="86">
        <v>0</v>
      </c>
      <c r="I177" s="86">
        <v>0</v>
      </c>
      <c r="J177" s="86">
        <v>0</v>
      </c>
      <c r="K177" s="86">
        <v>0</v>
      </c>
      <c r="L177" s="86">
        <v>0</v>
      </c>
      <c r="M177" s="86">
        <f>VLOOKUP(F177,'Прайс Лазер'!$L$3:$M$9,2,0)</f>
        <v>94</v>
      </c>
      <c r="N177" s="86">
        <v>25</v>
      </c>
      <c r="O177" s="95">
        <f>VLOOKUP(E177,'Прайс Лазер'!$I$4:$J$21,2,0)</f>
        <v>1.1499999999999999</v>
      </c>
      <c r="P177" s="86">
        <f>HLOOKUP('Оценка лазера'!$E177,'Прайс Лазер'!$C$26:$T$34,1+VLOOKUP(F177,'Прайс Лазер'!$A$26:$B$34,2,0),0)</f>
        <v>21.849999999999998</v>
      </c>
      <c r="Q177" s="86">
        <f t="shared" si="20"/>
        <v>0</v>
      </c>
      <c r="R177" s="86">
        <f t="shared" si="21"/>
        <v>0</v>
      </c>
      <c r="S177" s="86">
        <f t="shared" si="22"/>
        <v>0</v>
      </c>
      <c r="T177" s="86">
        <f t="shared" si="24"/>
        <v>0</v>
      </c>
      <c r="U177" s="86">
        <f t="shared" si="23"/>
        <v>0</v>
      </c>
      <c r="V177" s="99">
        <f t="shared" si="25"/>
        <v>0</v>
      </c>
    </row>
    <row r="178" spans="1:22" ht="15" x14ac:dyDescent="0.25">
      <c r="A178" s="98">
        <f t="shared" si="26"/>
        <v>176</v>
      </c>
      <c r="B178" s="86"/>
      <c r="C178" s="86"/>
      <c r="D178" s="86"/>
      <c r="E178" s="86">
        <v>1</v>
      </c>
      <c r="F178" s="96" t="s">
        <v>85</v>
      </c>
      <c r="G178" s="86"/>
      <c r="H178" s="86">
        <v>0</v>
      </c>
      <c r="I178" s="86">
        <v>0</v>
      </c>
      <c r="J178" s="86">
        <v>0</v>
      </c>
      <c r="K178" s="86">
        <v>0</v>
      </c>
      <c r="L178" s="86">
        <v>0</v>
      </c>
      <c r="M178" s="86">
        <f>VLOOKUP(F178,'Прайс Лазер'!$L$3:$M$9,2,0)</f>
        <v>94</v>
      </c>
      <c r="N178" s="86">
        <v>25</v>
      </c>
      <c r="O178" s="95">
        <f>VLOOKUP(E178,'Прайс Лазер'!$I$4:$J$21,2,0)</f>
        <v>1.1499999999999999</v>
      </c>
      <c r="P178" s="86">
        <f>HLOOKUP('Оценка лазера'!$E178,'Прайс Лазер'!$C$26:$T$34,1+VLOOKUP(F178,'Прайс Лазер'!$A$26:$B$34,2,0),0)</f>
        <v>21.849999999999998</v>
      </c>
      <c r="Q178" s="86">
        <f t="shared" si="20"/>
        <v>0</v>
      </c>
      <c r="R178" s="86">
        <f t="shared" si="21"/>
        <v>0</v>
      </c>
      <c r="S178" s="86">
        <f t="shared" si="22"/>
        <v>0</v>
      </c>
      <c r="T178" s="86">
        <f t="shared" si="24"/>
        <v>0</v>
      </c>
      <c r="U178" s="86">
        <f t="shared" si="23"/>
        <v>0</v>
      </c>
      <c r="V178" s="99">
        <f t="shared" si="25"/>
        <v>0</v>
      </c>
    </row>
    <row r="179" spans="1:22" ht="15" x14ac:dyDescent="0.25">
      <c r="A179" s="98">
        <f t="shared" si="26"/>
        <v>177</v>
      </c>
      <c r="B179" s="86"/>
      <c r="C179" s="86"/>
      <c r="D179" s="86"/>
      <c r="E179" s="86">
        <v>1</v>
      </c>
      <c r="F179" s="96" t="s">
        <v>85</v>
      </c>
      <c r="G179" s="86"/>
      <c r="H179" s="86">
        <v>0</v>
      </c>
      <c r="I179" s="86">
        <v>0</v>
      </c>
      <c r="J179" s="86">
        <v>0</v>
      </c>
      <c r="K179" s="86">
        <v>0</v>
      </c>
      <c r="L179" s="86">
        <v>0</v>
      </c>
      <c r="M179" s="86">
        <f>VLOOKUP(F179,'Прайс Лазер'!$L$3:$M$9,2,0)</f>
        <v>94</v>
      </c>
      <c r="N179" s="86">
        <v>25</v>
      </c>
      <c r="O179" s="95">
        <f>VLOOKUP(E179,'Прайс Лазер'!$I$4:$J$21,2,0)</f>
        <v>1.1499999999999999</v>
      </c>
      <c r="P179" s="86">
        <f>HLOOKUP('Оценка лазера'!$E179,'Прайс Лазер'!$C$26:$T$34,1+VLOOKUP(F179,'Прайс Лазер'!$A$26:$B$34,2,0),0)</f>
        <v>21.849999999999998</v>
      </c>
      <c r="Q179" s="86">
        <f t="shared" si="20"/>
        <v>0</v>
      </c>
      <c r="R179" s="86">
        <f t="shared" si="21"/>
        <v>0</v>
      </c>
      <c r="S179" s="86">
        <f t="shared" si="22"/>
        <v>0</v>
      </c>
      <c r="T179" s="86">
        <f t="shared" si="24"/>
        <v>0</v>
      </c>
      <c r="U179" s="86">
        <f t="shared" si="23"/>
        <v>0</v>
      </c>
      <c r="V179" s="99">
        <f t="shared" si="25"/>
        <v>0</v>
      </c>
    </row>
    <row r="180" spans="1:22" ht="15" x14ac:dyDescent="0.25">
      <c r="A180" s="98">
        <f t="shared" si="26"/>
        <v>178</v>
      </c>
      <c r="B180" s="86"/>
      <c r="C180" s="86"/>
      <c r="D180" s="86"/>
      <c r="E180" s="86">
        <v>1</v>
      </c>
      <c r="F180" s="96" t="s">
        <v>85</v>
      </c>
      <c r="G180" s="86"/>
      <c r="H180" s="86">
        <v>0</v>
      </c>
      <c r="I180" s="86">
        <v>0</v>
      </c>
      <c r="J180" s="86">
        <v>0</v>
      </c>
      <c r="K180" s="86">
        <v>0</v>
      </c>
      <c r="L180" s="86">
        <v>0</v>
      </c>
      <c r="M180" s="86">
        <f>VLOOKUP(F180,'Прайс Лазер'!$L$3:$M$9,2,0)</f>
        <v>94</v>
      </c>
      <c r="N180" s="86">
        <v>25</v>
      </c>
      <c r="O180" s="95">
        <f>VLOOKUP(E180,'Прайс Лазер'!$I$4:$J$21,2,0)</f>
        <v>1.1499999999999999</v>
      </c>
      <c r="P180" s="86">
        <f>HLOOKUP('Оценка лазера'!$E180,'Прайс Лазер'!$C$26:$T$34,1+VLOOKUP(F180,'Прайс Лазер'!$A$26:$B$34,2,0),0)</f>
        <v>21.849999999999998</v>
      </c>
      <c r="Q180" s="86">
        <f t="shared" si="20"/>
        <v>0</v>
      </c>
      <c r="R180" s="86">
        <f t="shared" si="21"/>
        <v>0</v>
      </c>
      <c r="S180" s="86">
        <f t="shared" si="22"/>
        <v>0</v>
      </c>
      <c r="T180" s="86">
        <f t="shared" si="24"/>
        <v>0</v>
      </c>
      <c r="U180" s="86">
        <f t="shared" si="23"/>
        <v>0</v>
      </c>
      <c r="V180" s="99">
        <f t="shared" si="25"/>
        <v>0</v>
      </c>
    </row>
    <row r="181" spans="1:22" ht="15" x14ac:dyDescent="0.25">
      <c r="A181" s="98">
        <f t="shared" si="26"/>
        <v>179</v>
      </c>
      <c r="B181" s="86"/>
      <c r="C181" s="86"/>
      <c r="D181" s="86"/>
      <c r="E181" s="86">
        <v>1</v>
      </c>
      <c r="F181" s="96" t="s">
        <v>85</v>
      </c>
      <c r="G181" s="86"/>
      <c r="H181" s="86">
        <v>0</v>
      </c>
      <c r="I181" s="86">
        <v>0</v>
      </c>
      <c r="J181" s="86">
        <v>0</v>
      </c>
      <c r="K181" s="86">
        <v>0</v>
      </c>
      <c r="L181" s="86">
        <v>0</v>
      </c>
      <c r="M181" s="86">
        <f>VLOOKUP(F181,'Прайс Лазер'!$L$3:$M$9,2,0)</f>
        <v>94</v>
      </c>
      <c r="N181" s="86">
        <v>25</v>
      </c>
      <c r="O181" s="95">
        <f>VLOOKUP(E181,'Прайс Лазер'!$I$4:$J$21,2,0)</f>
        <v>1.1499999999999999</v>
      </c>
      <c r="P181" s="86">
        <f>HLOOKUP('Оценка лазера'!$E181,'Прайс Лазер'!$C$26:$T$34,1+VLOOKUP(F181,'Прайс Лазер'!$A$26:$B$34,2,0),0)</f>
        <v>21.849999999999998</v>
      </c>
      <c r="Q181" s="86">
        <f t="shared" si="20"/>
        <v>0</v>
      </c>
      <c r="R181" s="86">
        <f t="shared" si="21"/>
        <v>0</v>
      </c>
      <c r="S181" s="86">
        <f t="shared" si="22"/>
        <v>0</v>
      </c>
      <c r="T181" s="86">
        <f t="shared" si="24"/>
        <v>0</v>
      </c>
      <c r="U181" s="86">
        <f t="shared" si="23"/>
        <v>0</v>
      </c>
      <c r="V181" s="99">
        <f t="shared" si="25"/>
        <v>0</v>
      </c>
    </row>
    <row r="182" spans="1:22" ht="15" x14ac:dyDescent="0.25">
      <c r="A182" s="98">
        <f t="shared" si="26"/>
        <v>180</v>
      </c>
      <c r="B182" s="86"/>
      <c r="C182" s="86"/>
      <c r="D182" s="86"/>
      <c r="E182" s="86">
        <v>1</v>
      </c>
      <c r="F182" s="96" t="s">
        <v>85</v>
      </c>
      <c r="G182" s="86"/>
      <c r="H182" s="86">
        <v>0</v>
      </c>
      <c r="I182" s="86">
        <v>0</v>
      </c>
      <c r="J182" s="86">
        <v>0</v>
      </c>
      <c r="K182" s="86">
        <v>0</v>
      </c>
      <c r="L182" s="86">
        <v>0</v>
      </c>
      <c r="M182" s="86">
        <f>VLOOKUP(F182,'Прайс Лазер'!$L$3:$M$9,2,0)</f>
        <v>94</v>
      </c>
      <c r="N182" s="86">
        <v>25</v>
      </c>
      <c r="O182" s="95">
        <f>VLOOKUP(E182,'Прайс Лазер'!$I$4:$J$21,2,0)</f>
        <v>1.1499999999999999</v>
      </c>
      <c r="P182" s="86">
        <f>HLOOKUP('Оценка лазера'!$E182,'Прайс Лазер'!$C$26:$T$34,1+VLOOKUP(F182,'Прайс Лазер'!$A$26:$B$34,2,0),0)</f>
        <v>21.849999999999998</v>
      </c>
      <c r="Q182" s="86">
        <f t="shared" si="20"/>
        <v>0</v>
      </c>
      <c r="R182" s="86">
        <f t="shared" si="21"/>
        <v>0</v>
      </c>
      <c r="S182" s="86">
        <f t="shared" si="22"/>
        <v>0</v>
      </c>
      <c r="T182" s="86">
        <f t="shared" si="24"/>
        <v>0</v>
      </c>
      <c r="U182" s="86">
        <f t="shared" si="23"/>
        <v>0</v>
      </c>
      <c r="V182" s="99">
        <f t="shared" si="25"/>
        <v>0</v>
      </c>
    </row>
    <row r="183" spans="1:22" ht="15" x14ac:dyDescent="0.25">
      <c r="A183" s="98">
        <f t="shared" si="26"/>
        <v>181</v>
      </c>
      <c r="B183" s="86"/>
      <c r="C183" s="86"/>
      <c r="D183" s="86"/>
      <c r="E183" s="86">
        <v>1</v>
      </c>
      <c r="F183" s="96" t="s">
        <v>85</v>
      </c>
      <c r="G183" s="86"/>
      <c r="H183" s="86">
        <v>0</v>
      </c>
      <c r="I183" s="86">
        <v>0</v>
      </c>
      <c r="J183" s="86">
        <v>0</v>
      </c>
      <c r="K183" s="86">
        <v>0</v>
      </c>
      <c r="L183" s="86">
        <v>0</v>
      </c>
      <c r="M183" s="86">
        <f>VLOOKUP(F183,'Прайс Лазер'!$L$3:$M$9,2,0)</f>
        <v>94</v>
      </c>
      <c r="N183" s="86">
        <v>25</v>
      </c>
      <c r="O183" s="95">
        <f>VLOOKUP(E183,'Прайс Лазер'!$I$4:$J$21,2,0)</f>
        <v>1.1499999999999999</v>
      </c>
      <c r="P183" s="86">
        <f>HLOOKUP('Оценка лазера'!$E183,'Прайс Лазер'!$C$26:$T$34,1+VLOOKUP(F183,'Прайс Лазер'!$A$26:$B$34,2,0),0)</f>
        <v>21.849999999999998</v>
      </c>
      <c r="Q183" s="86">
        <f t="shared" si="20"/>
        <v>0</v>
      </c>
      <c r="R183" s="86">
        <f t="shared" si="21"/>
        <v>0</v>
      </c>
      <c r="S183" s="86">
        <f t="shared" si="22"/>
        <v>0</v>
      </c>
      <c r="T183" s="86">
        <f t="shared" si="24"/>
        <v>0</v>
      </c>
      <c r="U183" s="86">
        <f t="shared" si="23"/>
        <v>0</v>
      </c>
      <c r="V183" s="99">
        <f t="shared" si="25"/>
        <v>0</v>
      </c>
    </row>
    <row r="184" spans="1:22" ht="15" x14ac:dyDescent="0.25">
      <c r="A184" s="98">
        <f t="shared" si="26"/>
        <v>182</v>
      </c>
      <c r="B184" s="86"/>
      <c r="C184" s="86"/>
      <c r="D184" s="86"/>
      <c r="E184" s="86">
        <v>1</v>
      </c>
      <c r="F184" s="96" t="s">
        <v>85</v>
      </c>
      <c r="G184" s="86"/>
      <c r="H184" s="86">
        <v>0</v>
      </c>
      <c r="I184" s="86">
        <v>0</v>
      </c>
      <c r="J184" s="86">
        <v>0</v>
      </c>
      <c r="K184" s="86">
        <v>0</v>
      </c>
      <c r="L184" s="86">
        <v>0</v>
      </c>
      <c r="M184" s="86">
        <f>VLOOKUP(F184,'Прайс Лазер'!$L$3:$M$9,2,0)</f>
        <v>94</v>
      </c>
      <c r="N184" s="86">
        <v>25</v>
      </c>
      <c r="O184" s="95">
        <f>VLOOKUP(E184,'Прайс Лазер'!$I$4:$J$21,2,0)</f>
        <v>1.1499999999999999</v>
      </c>
      <c r="P184" s="86">
        <f>HLOOKUP('Оценка лазера'!$E184,'Прайс Лазер'!$C$26:$T$34,1+VLOOKUP(F184,'Прайс Лазер'!$A$26:$B$34,2,0),0)</f>
        <v>21.849999999999998</v>
      </c>
      <c r="Q184" s="86">
        <f t="shared" si="20"/>
        <v>0</v>
      </c>
      <c r="R184" s="86">
        <f t="shared" si="21"/>
        <v>0</v>
      </c>
      <c r="S184" s="86">
        <f t="shared" si="22"/>
        <v>0</v>
      </c>
      <c r="T184" s="86">
        <f t="shared" si="24"/>
        <v>0</v>
      </c>
      <c r="U184" s="86">
        <f t="shared" si="23"/>
        <v>0</v>
      </c>
      <c r="V184" s="99">
        <f t="shared" si="25"/>
        <v>0</v>
      </c>
    </row>
    <row r="185" spans="1:22" ht="15" x14ac:dyDescent="0.25">
      <c r="A185" s="98">
        <f t="shared" si="26"/>
        <v>183</v>
      </c>
      <c r="B185" s="86"/>
      <c r="C185" s="86"/>
      <c r="D185" s="86"/>
      <c r="E185" s="86">
        <v>1</v>
      </c>
      <c r="F185" s="96" t="s">
        <v>85</v>
      </c>
      <c r="G185" s="86"/>
      <c r="H185" s="86">
        <v>0</v>
      </c>
      <c r="I185" s="86">
        <v>0</v>
      </c>
      <c r="J185" s="86">
        <v>0</v>
      </c>
      <c r="K185" s="86">
        <v>0</v>
      </c>
      <c r="L185" s="86">
        <v>0</v>
      </c>
      <c r="M185" s="86">
        <f>VLOOKUP(F185,'Прайс Лазер'!$L$3:$M$9,2,0)</f>
        <v>94</v>
      </c>
      <c r="N185" s="86">
        <v>25</v>
      </c>
      <c r="O185" s="95">
        <f>VLOOKUP(E185,'Прайс Лазер'!$I$4:$J$21,2,0)</f>
        <v>1.1499999999999999</v>
      </c>
      <c r="P185" s="86">
        <f>HLOOKUP('Оценка лазера'!$E185,'Прайс Лазер'!$C$26:$T$34,1+VLOOKUP(F185,'Прайс Лазер'!$A$26:$B$34,2,0),0)</f>
        <v>21.849999999999998</v>
      </c>
      <c r="Q185" s="86">
        <f t="shared" si="20"/>
        <v>0</v>
      </c>
      <c r="R185" s="86">
        <f t="shared" si="21"/>
        <v>0</v>
      </c>
      <c r="S185" s="86">
        <f t="shared" si="22"/>
        <v>0</v>
      </c>
      <c r="T185" s="86">
        <f t="shared" si="24"/>
        <v>0</v>
      </c>
      <c r="U185" s="86">
        <f t="shared" si="23"/>
        <v>0</v>
      </c>
      <c r="V185" s="99">
        <f t="shared" si="25"/>
        <v>0</v>
      </c>
    </row>
    <row r="186" spans="1:22" ht="15" x14ac:dyDescent="0.25">
      <c r="A186" s="98">
        <f t="shared" si="26"/>
        <v>184</v>
      </c>
      <c r="B186" s="86"/>
      <c r="C186" s="86"/>
      <c r="D186" s="86"/>
      <c r="E186" s="86">
        <v>1</v>
      </c>
      <c r="F186" s="96" t="s">
        <v>85</v>
      </c>
      <c r="G186" s="86"/>
      <c r="H186" s="86">
        <v>0</v>
      </c>
      <c r="I186" s="86">
        <v>0</v>
      </c>
      <c r="J186" s="86">
        <v>0</v>
      </c>
      <c r="K186" s="86">
        <v>0</v>
      </c>
      <c r="L186" s="86">
        <v>0</v>
      </c>
      <c r="M186" s="86">
        <f>VLOOKUP(F186,'Прайс Лазер'!$L$3:$M$9,2,0)</f>
        <v>94</v>
      </c>
      <c r="N186" s="86">
        <v>25</v>
      </c>
      <c r="O186" s="95">
        <f>VLOOKUP(E186,'Прайс Лазер'!$I$4:$J$21,2,0)</f>
        <v>1.1499999999999999</v>
      </c>
      <c r="P186" s="86">
        <f>HLOOKUP('Оценка лазера'!$E186,'Прайс Лазер'!$C$26:$T$34,1+VLOOKUP(F186,'Прайс Лазер'!$A$26:$B$34,2,0),0)</f>
        <v>21.849999999999998</v>
      </c>
      <c r="Q186" s="86">
        <f t="shared" si="20"/>
        <v>0</v>
      </c>
      <c r="R186" s="86">
        <f t="shared" si="21"/>
        <v>0</v>
      </c>
      <c r="S186" s="86">
        <f t="shared" si="22"/>
        <v>0</v>
      </c>
      <c r="T186" s="86">
        <f t="shared" si="24"/>
        <v>0</v>
      </c>
      <c r="U186" s="86">
        <f t="shared" si="23"/>
        <v>0</v>
      </c>
      <c r="V186" s="99">
        <f t="shared" si="25"/>
        <v>0</v>
      </c>
    </row>
    <row r="187" spans="1:22" ht="15" x14ac:dyDescent="0.25">
      <c r="A187" s="98">
        <f t="shared" si="26"/>
        <v>185</v>
      </c>
      <c r="B187" s="86"/>
      <c r="C187" s="86"/>
      <c r="D187" s="86"/>
      <c r="E187" s="86">
        <v>1</v>
      </c>
      <c r="F187" s="96" t="s">
        <v>85</v>
      </c>
      <c r="G187" s="86"/>
      <c r="H187" s="86">
        <v>0</v>
      </c>
      <c r="I187" s="86">
        <v>0</v>
      </c>
      <c r="J187" s="86">
        <v>0</v>
      </c>
      <c r="K187" s="86">
        <v>0</v>
      </c>
      <c r="L187" s="86">
        <v>0</v>
      </c>
      <c r="M187" s="86">
        <f>VLOOKUP(F187,'Прайс Лазер'!$L$3:$M$9,2,0)</f>
        <v>94</v>
      </c>
      <c r="N187" s="86">
        <v>25</v>
      </c>
      <c r="O187" s="95">
        <f>VLOOKUP(E187,'Прайс Лазер'!$I$4:$J$21,2,0)</f>
        <v>1.1499999999999999</v>
      </c>
      <c r="P187" s="86">
        <f>HLOOKUP('Оценка лазера'!$E187,'Прайс Лазер'!$C$26:$T$34,1+VLOOKUP(F187,'Прайс Лазер'!$A$26:$B$34,2,0),0)</f>
        <v>21.849999999999998</v>
      </c>
      <c r="Q187" s="86">
        <f t="shared" si="20"/>
        <v>0</v>
      </c>
      <c r="R187" s="86">
        <f t="shared" si="21"/>
        <v>0</v>
      </c>
      <c r="S187" s="86">
        <f t="shared" si="22"/>
        <v>0</v>
      </c>
      <c r="T187" s="86">
        <f t="shared" si="24"/>
        <v>0</v>
      </c>
      <c r="U187" s="86">
        <f t="shared" si="23"/>
        <v>0</v>
      </c>
      <c r="V187" s="99">
        <f t="shared" si="25"/>
        <v>0</v>
      </c>
    </row>
    <row r="188" spans="1:22" ht="15" x14ac:dyDescent="0.25">
      <c r="A188" s="98">
        <f t="shared" si="26"/>
        <v>186</v>
      </c>
      <c r="B188" s="86"/>
      <c r="C188" s="86"/>
      <c r="D188" s="86"/>
      <c r="E188" s="86">
        <v>1</v>
      </c>
      <c r="F188" s="96" t="s">
        <v>85</v>
      </c>
      <c r="G188" s="86"/>
      <c r="H188" s="86">
        <v>0</v>
      </c>
      <c r="I188" s="86">
        <v>0</v>
      </c>
      <c r="J188" s="86">
        <v>0</v>
      </c>
      <c r="K188" s="86">
        <v>0</v>
      </c>
      <c r="L188" s="86">
        <v>0</v>
      </c>
      <c r="M188" s="86">
        <f>VLOOKUP(F188,'Прайс Лазер'!$L$3:$M$9,2,0)</f>
        <v>94</v>
      </c>
      <c r="N188" s="86">
        <v>25</v>
      </c>
      <c r="O188" s="95">
        <f>VLOOKUP(E188,'Прайс Лазер'!$I$4:$J$21,2,0)</f>
        <v>1.1499999999999999</v>
      </c>
      <c r="P188" s="86">
        <f>HLOOKUP('Оценка лазера'!$E188,'Прайс Лазер'!$C$26:$T$34,1+VLOOKUP(F188,'Прайс Лазер'!$A$26:$B$34,2,0),0)</f>
        <v>21.849999999999998</v>
      </c>
      <c r="Q188" s="86">
        <f t="shared" si="20"/>
        <v>0</v>
      </c>
      <c r="R188" s="86">
        <f t="shared" si="21"/>
        <v>0</v>
      </c>
      <c r="S188" s="86">
        <f t="shared" si="22"/>
        <v>0</v>
      </c>
      <c r="T188" s="86">
        <f t="shared" si="24"/>
        <v>0</v>
      </c>
      <c r="U188" s="86">
        <f t="shared" si="23"/>
        <v>0</v>
      </c>
      <c r="V188" s="99">
        <f t="shared" si="25"/>
        <v>0</v>
      </c>
    </row>
    <row r="189" spans="1:22" ht="15" x14ac:dyDescent="0.25">
      <c r="A189" s="98">
        <f t="shared" si="26"/>
        <v>187</v>
      </c>
      <c r="B189" s="86"/>
      <c r="C189" s="86"/>
      <c r="D189" s="86"/>
      <c r="E189" s="86">
        <v>1</v>
      </c>
      <c r="F189" s="96" t="s">
        <v>85</v>
      </c>
      <c r="G189" s="86"/>
      <c r="H189" s="86">
        <v>0</v>
      </c>
      <c r="I189" s="86">
        <v>0</v>
      </c>
      <c r="J189" s="86">
        <v>0</v>
      </c>
      <c r="K189" s="86">
        <v>0</v>
      </c>
      <c r="L189" s="86">
        <v>0</v>
      </c>
      <c r="M189" s="86">
        <f>VLOOKUP(F189,'Прайс Лазер'!$L$3:$M$9,2,0)</f>
        <v>94</v>
      </c>
      <c r="N189" s="86">
        <v>25</v>
      </c>
      <c r="O189" s="95">
        <f>VLOOKUP(E189,'Прайс Лазер'!$I$4:$J$21,2,0)</f>
        <v>1.1499999999999999</v>
      </c>
      <c r="P189" s="86">
        <f>HLOOKUP('Оценка лазера'!$E189,'Прайс Лазер'!$C$26:$T$34,1+VLOOKUP(F189,'Прайс Лазер'!$A$26:$B$34,2,0),0)</f>
        <v>21.849999999999998</v>
      </c>
      <c r="Q189" s="86">
        <f t="shared" si="20"/>
        <v>0</v>
      </c>
      <c r="R189" s="86">
        <f t="shared" si="21"/>
        <v>0</v>
      </c>
      <c r="S189" s="86">
        <f t="shared" si="22"/>
        <v>0</v>
      </c>
      <c r="T189" s="86">
        <f t="shared" si="24"/>
        <v>0</v>
      </c>
      <c r="U189" s="86">
        <f t="shared" si="23"/>
        <v>0</v>
      </c>
      <c r="V189" s="99">
        <f t="shared" si="25"/>
        <v>0</v>
      </c>
    </row>
    <row r="190" spans="1:22" ht="15" x14ac:dyDescent="0.25">
      <c r="A190" s="98">
        <f t="shared" si="26"/>
        <v>188</v>
      </c>
      <c r="B190" s="86"/>
      <c r="C190" s="86"/>
      <c r="D190" s="86"/>
      <c r="E190" s="86">
        <v>1</v>
      </c>
      <c r="F190" s="96" t="s">
        <v>85</v>
      </c>
      <c r="G190" s="86"/>
      <c r="H190" s="86">
        <v>0</v>
      </c>
      <c r="I190" s="86">
        <v>0</v>
      </c>
      <c r="J190" s="86">
        <v>0</v>
      </c>
      <c r="K190" s="86">
        <v>0</v>
      </c>
      <c r="L190" s="86">
        <v>0</v>
      </c>
      <c r="M190" s="86">
        <f>VLOOKUP(F190,'Прайс Лазер'!$L$3:$M$9,2,0)</f>
        <v>94</v>
      </c>
      <c r="N190" s="86">
        <v>25</v>
      </c>
      <c r="O190" s="95">
        <f>VLOOKUP(E190,'Прайс Лазер'!$I$4:$J$21,2,0)</f>
        <v>1.1499999999999999</v>
      </c>
      <c r="P190" s="86">
        <f>HLOOKUP('Оценка лазера'!$E190,'Прайс Лазер'!$C$26:$T$34,1+VLOOKUP(F190,'Прайс Лазер'!$A$26:$B$34,2,0),0)</f>
        <v>21.849999999999998</v>
      </c>
      <c r="Q190" s="86">
        <f t="shared" si="20"/>
        <v>0</v>
      </c>
      <c r="R190" s="86">
        <f t="shared" si="21"/>
        <v>0</v>
      </c>
      <c r="S190" s="86">
        <f t="shared" si="22"/>
        <v>0</v>
      </c>
      <c r="T190" s="86">
        <f t="shared" si="24"/>
        <v>0</v>
      </c>
      <c r="U190" s="86">
        <f t="shared" si="23"/>
        <v>0</v>
      </c>
      <c r="V190" s="99">
        <f t="shared" si="25"/>
        <v>0</v>
      </c>
    </row>
    <row r="191" spans="1:22" ht="15" x14ac:dyDescent="0.25">
      <c r="A191" s="98">
        <f t="shared" si="26"/>
        <v>189</v>
      </c>
      <c r="B191" s="86"/>
      <c r="C191" s="86"/>
      <c r="D191" s="86"/>
      <c r="E191" s="86">
        <v>1</v>
      </c>
      <c r="F191" s="96" t="s">
        <v>85</v>
      </c>
      <c r="G191" s="86"/>
      <c r="H191" s="86">
        <v>0</v>
      </c>
      <c r="I191" s="86">
        <v>0</v>
      </c>
      <c r="J191" s="86">
        <v>0</v>
      </c>
      <c r="K191" s="86">
        <v>0</v>
      </c>
      <c r="L191" s="86">
        <v>0</v>
      </c>
      <c r="M191" s="86">
        <f>VLOOKUP(F191,'Прайс Лазер'!$L$3:$M$9,2,0)</f>
        <v>94</v>
      </c>
      <c r="N191" s="86">
        <v>25</v>
      </c>
      <c r="O191" s="95">
        <f>VLOOKUP(E191,'Прайс Лазер'!$I$4:$J$21,2,0)</f>
        <v>1.1499999999999999</v>
      </c>
      <c r="P191" s="86">
        <f>HLOOKUP('Оценка лазера'!$E191,'Прайс Лазер'!$C$26:$T$34,1+VLOOKUP(F191,'Прайс Лазер'!$A$26:$B$34,2,0),0)</f>
        <v>21.849999999999998</v>
      </c>
      <c r="Q191" s="86">
        <f t="shared" si="20"/>
        <v>0</v>
      </c>
      <c r="R191" s="86">
        <f t="shared" si="21"/>
        <v>0</v>
      </c>
      <c r="S191" s="86">
        <f t="shared" si="22"/>
        <v>0</v>
      </c>
      <c r="T191" s="86">
        <f t="shared" si="24"/>
        <v>0</v>
      </c>
      <c r="U191" s="86">
        <f t="shared" si="23"/>
        <v>0</v>
      </c>
      <c r="V191" s="99">
        <f t="shared" si="25"/>
        <v>0</v>
      </c>
    </row>
    <row r="192" spans="1:22" ht="15" x14ac:dyDescent="0.25">
      <c r="A192" s="98">
        <f t="shared" si="26"/>
        <v>190</v>
      </c>
      <c r="B192" s="86"/>
      <c r="C192" s="86"/>
      <c r="D192" s="86"/>
      <c r="E192" s="86">
        <v>1</v>
      </c>
      <c r="F192" s="96" t="s">
        <v>85</v>
      </c>
      <c r="G192" s="86"/>
      <c r="H192" s="86">
        <v>0</v>
      </c>
      <c r="I192" s="86">
        <v>0</v>
      </c>
      <c r="J192" s="86">
        <v>0</v>
      </c>
      <c r="K192" s="86">
        <v>0</v>
      </c>
      <c r="L192" s="86">
        <v>0</v>
      </c>
      <c r="M192" s="86">
        <f>VLOOKUP(F192,'Прайс Лазер'!$L$3:$M$9,2,0)</f>
        <v>94</v>
      </c>
      <c r="N192" s="86">
        <v>25</v>
      </c>
      <c r="O192" s="95">
        <f>VLOOKUP(E192,'Прайс Лазер'!$I$4:$J$21,2,0)</f>
        <v>1.1499999999999999</v>
      </c>
      <c r="P192" s="86">
        <f>HLOOKUP('Оценка лазера'!$E192,'Прайс Лазер'!$C$26:$T$34,1+VLOOKUP(F192,'Прайс Лазер'!$A$26:$B$34,2,0),0)</f>
        <v>21.849999999999998</v>
      </c>
      <c r="Q192" s="86">
        <f t="shared" si="20"/>
        <v>0</v>
      </c>
      <c r="R192" s="86">
        <f t="shared" si="21"/>
        <v>0</v>
      </c>
      <c r="S192" s="86">
        <f t="shared" si="22"/>
        <v>0</v>
      </c>
      <c r="T192" s="86">
        <f t="shared" si="24"/>
        <v>0</v>
      </c>
      <c r="U192" s="86">
        <f t="shared" si="23"/>
        <v>0</v>
      </c>
      <c r="V192" s="99">
        <f t="shared" si="25"/>
        <v>0</v>
      </c>
    </row>
    <row r="193" spans="1:25" ht="15" x14ac:dyDescent="0.25">
      <c r="A193" s="98">
        <f t="shared" si="26"/>
        <v>191</v>
      </c>
      <c r="B193" s="86"/>
      <c r="C193" s="86"/>
      <c r="D193" s="86"/>
      <c r="E193" s="86">
        <v>1</v>
      </c>
      <c r="F193" s="96" t="s">
        <v>85</v>
      </c>
      <c r="G193" s="86"/>
      <c r="H193" s="86">
        <v>0</v>
      </c>
      <c r="I193" s="86">
        <v>0</v>
      </c>
      <c r="J193" s="86">
        <v>0</v>
      </c>
      <c r="K193" s="86">
        <v>0</v>
      </c>
      <c r="L193" s="86">
        <v>0</v>
      </c>
      <c r="M193" s="86">
        <f>VLOOKUP(F193,'Прайс Лазер'!$L$3:$M$9,2,0)</f>
        <v>94</v>
      </c>
      <c r="N193" s="86">
        <v>25</v>
      </c>
      <c r="O193" s="95">
        <f>VLOOKUP(E193,'Прайс Лазер'!$I$4:$J$21,2,0)</f>
        <v>1.1499999999999999</v>
      </c>
      <c r="P193" s="86">
        <f>HLOOKUP('Оценка лазера'!$E193,'Прайс Лазер'!$C$26:$T$34,1+VLOOKUP(F193,'Прайс Лазер'!$A$26:$B$34,2,0),0)</f>
        <v>21.849999999999998</v>
      </c>
      <c r="Q193" s="86">
        <f t="shared" si="20"/>
        <v>0</v>
      </c>
      <c r="R193" s="86">
        <f t="shared" si="21"/>
        <v>0</v>
      </c>
      <c r="S193" s="86">
        <f t="shared" si="22"/>
        <v>0</v>
      </c>
      <c r="T193" s="86">
        <f t="shared" si="24"/>
        <v>0</v>
      </c>
      <c r="U193" s="86">
        <f t="shared" si="23"/>
        <v>0</v>
      </c>
      <c r="V193" s="99">
        <f t="shared" si="25"/>
        <v>0</v>
      </c>
    </row>
    <row r="194" spans="1:25" ht="15" x14ac:dyDescent="0.25">
      <c r="A194" s="98">
        <f t="shared" si="26"/>
        <v>192</v>
      </c>
      <c r="B194" s="86"/>
      <c r="C194" s="86"/>
      <c r="D194" s="86"/>
      <c r="E194" s="86">
        <v>1</v>
      </c>
      <c r="F194" s="96" t="s">
        <v>85</v>
      </c>
      <c r="G194" s="86"/>
      <c r="H194" s="86">
        <v>0</v>
      </c>
      <c r="I194" s="86">
        <v>0</v>
      </c>
      <c r="J194" s="86">
        <v>0</v>
      </c>
      <c r="K194" s="86">
        <v>0</v>
      </c>
      <c r="L194" s="86">
        <v>0</v>
      </c>
      <c r="M194" s="86">
        <f>VLOOKUP(F194,'Прайс Лазер'!$L$3:$M$9,2,0)</f>
        <v>94</v>
      </c>
      <c r="N194" s="86">
        <v>25</v>
      </c>
      <c r="O194" s="95">
        <f>VLOOKUP(E194,'Прайс Лазер'!$I$4:$J$21,2,0)</f>
        <v>1.1499999999999999</v>
      </c>
      <c r="P194" s="86">
        <f>HLOOKUP('Оценка лазера'!$E194,'Прайс Лазер'!$C$26:$T$34,1+VLOOKUP(F194,'Прайс Лазер'!$A$26:$B$34,2,0),0)</f>
        <v>21.849999999999998</v>
      </c>
      <c r="Q194" s="86">
        <f t="shared" si="20"/>
        <v>0</v>
      </c>
      <c r="R194" s="86">
        <f t="shared" si="21"/>
        <v>0</v>
      </c>
      <c r="S194" s="86">
        <f t="shared" si="22"/>
        <v>0</v>
      </c>
      <c r="T194" s="86">
        <f t="shared" si="24"/>
        <v>0</v>
      </c>
      <c r="U194" s="86">
        <f t="shared" si="23"/>
        <v>0</v>
      </c>
      <c r="V194" s="99">
        <f t="shared" si="25"/>
        <v>0</v>
      </c>
    </row>
    <row r="195" spans="1:25" ht="15" x14ac:dyDescent="0.25">
      <c r="A195" s="98">
        <f t="shared" si="26"/>
        <v>193</v>
      </c>
      <c r="B195" s="86"/>
      <c r="C195" s="86"/>
      <c r="D195" s="86"/>
      <c r="E195" s="86">
        <v>1</v>
      </c>
      <c r="F195" s="96" t="s">
        <v>85</v>
      </c>
      <c r="G195" s="86"/>
      <c r="H195" s="86">
        <v>0</v>
      </c>
      <c r="I195" s="86">
        <v>0</v>
      </c>
      <c r="J195" s="86">
        <v>0</v>
      </c>
      <c r="K195" s="86">
        <v>0</v>
      </c>
      <c r="L195" s="86">
        <v>0</v>
      </c>
      <c r="M195" s="86">
        <f>VLOOKUP(F195,'Прайс Лазер'!$L$3:$M$9,2,0)</f>
        <v>94</v>
      </c>
      <c r="N195" s="86">
        <v>25</v>
      </c>
      <c r="O195" s="95">
        <f>VLOOKUP(E195,'Прайс Лазер'!$I$4:$J$21,2,0)</f>
        <v>1.1499999999999999</v>
      </c>
      <c r="P195" s="86">
        <f>HLOOKUP('Оценка лазера'!$E195,'Прайс Лазер'!$C$26:$T$34,1+VLOOKUP(F195,'Прайс Лазер'!$A$26:$B$34,2,0),0)</f>
        <v>21.849999999999998</v>
      </c>
      <c r="Q195" s="86">
        <f t="shared" ref="Q195:Q237" si="27">H195*M195</f>
        <v>0</v>
      </c>
      <c r="R195" s="86">
        <f t="shared" ref="R195:R237" si="28">I195*N195</f>
        <v>0</v>
      </c>
      <c r="S195" s="86">
        <f t="shared" ref="S195:S237" si="29">(K195+L195)/1000*1.1*P195+(J195*O195)</f>
        <v>0</v>
      </c>
      <c r="T195" s="86">
        <f t="shared" si="24"/>
        <v>0</v>
      </c>
      <c r="U195" s="86">
        <f t="shared" ref="U195:U237" si="30">D195*T195</f>
        <v>0</v>
      </c>
      <c r="V195" s="99">
        <f t="shared" si="25"/>
        <v>0</v>
      </c>
    </row>
    <row r="196" spans="1:25" ht="15" x14ac:dyDescent="0.25">
      <c r="A196" s="98">
        <f t="shared" si="26"/>
        <v>194</v>
      </c>
      <c r="B196" s="86"/>
      <c r="C196" s="86"/>
      <c r="D196" s="86"/>
      <c r="E196" s="86">
        <v>1</v>
      </c>
      <c r="F196" s="96" t="s">
        <v>85</v>
      </c>
      <c r="G196" s="86"/>
      <c r="H196" s="86">
        <v>0</v>
      </c>
      <c r="I196" s="86">
        <v>0</v>
      </c>
      <c r="J196" s="86">
        <v>0</v>
      </c>
      <c r="K196" s="86">
        <v>0</v>
      </c>
      <c r="L196" s="86">
        <v>0</v>
      </c>
      <c r="M196" s="86">
        <f>VLOOKUP(F196,'Прайс Лазер'!$L$3:$M$9,2,0)</f>
        <v>94</v>
      </c>
      <c r="N196" s="86">
        <v>25</v>
      </c>
      <c r="O196" s="95">
        <f>VLOOKUP(E196,'Прайс Лазер'!$I$4:$J$21,2,0)</f>
        <v>1.1499999999999999</v>
      </c>
      <c r="P196" s="86">
        <f>HLOOKUP('Оценка лазера'!$E196,'Прайс Лазер'!$C$26:$T$34,1+VLOOKUP(F196,'Прайс Лазер'!$A$26:$B$34,2,0),0)</f>
        <v>21.849999999999998</v>
      </c>
      <c r="Q196" s="86">
        <f t="shared" si="27"/>
        <v>0</v>
      </c>
      <c r="R196" s="86">
        <f t="shared" si="28"/>
        <v>0</v>
      </c>
      <c r="S196" s="86">
        <f t="shared" si="29"/>
        <v>0</v>
      </c>
      <c r="T196" s="86">
        <f t="shared" ref="T196:T237" si="31">Q196+R196+S196</f>
        <v>0</v>
      </c>
      <c r="U196" s="86">
        <f t="shared" si="30"/>
        <v>0</v>
      </c>
      <c r="V196" s="99">
        <f t="shared" ref="V196:V237" si="32">U196/1.2</f>
        <v>0</v>
      </c>
    </row>
    <row r="197" spans="1:25" ht="15" x14ac:dyDescent="0.25">
      <c r="A197" s="98">
        <f t="shared" ref="A197:A237" si="33">A196+1</f>
        <v>195</v>
      </c>
      <c r="B197" s="86"/>
      <c r="C197" s="86"/>
      <c r="D197" s="86"/>
      <c r="E197" s="86">
        <v>1</v>
      </c>
      <c r="F197" s="96" t="s">
        <v>85</v>
      </c>
      <c r="G197" s="86"/>
      <c r="H197" s="86">
        <v>0</v>
      </c>
      <c r="I197" s="86">
        <v>0</v>
      </c>
      <c r="J197" s="86">
        <v>0</v>
      </c>
      <c r="K197" s="86">
        <v>0</v>
      </c>
      <c r="L197" s="86">
        <v>0</v>
      </c>
      <c r="M197" s="86">
        <f>VLOOKUP(F197,'Прайс Лазер'!$L$3:$M$9,2,0)</f>
        <v>94</v>
      </c>
      <c r="N197" s="86">
        <v>25</v>
      </c>
      <c r="O197" s="95">
        <f>VLOOKUP(E197,'Прайс Лазер'!$I$4:$J$21,2,0)</f>
        <v>1.1499999999999999</v>
      </c>
      <c r="P197" s="86">
        <f>HLOOKUP('Оценка лазера'!$E197,'Прайс Лазер'!$C$26:$T$34,1+VLOOKUP(F197,'Прайс Лазер'!$A$26:$B$34,2,0),0)</f>
        <v>21.849999999999998</v>
      </c>
      <c r="Q197" s="86">
        <f t="shared" si="27"/>
        <v>0</v>
      </c>
      <c r="R197" s="86">
        <f t="shared" si="28"/>
        <v>0</v>
      </c>
      <c r="S197" s="86">
        <f t="shared" si="29"/>
        <v>0</v>
      </c>
      <c r="T197" s="86">
        <f t="shared" si="31"/>
        <v>0</v>
      </c>
      <c r="U197" s="86">
        <f t="shared" si="30"/>
        <v>0</v>
      </c>
      <c r="V197" s="99">
        <f t="shared" si="32"/>
        <v>0</v>
      </c>
    </row>
    <row r="198" spans="1:25" ht="15" x14ac:dyDescent="0.25">
      <c r="A198" s="98">
        <f t="shared" si="33"/>
        <v>196</v>
      </c>
      <c r="B198" s="86"/>
      <c r="C198" s="86"/>
      <c r="D198" s="86"/>
      <c r="E198" s="86">
        <v>1</v>
      </c>
      <c r="F198" s="96" t="s">
        <v>85</v>
      </c>
      <c r="G198" s="86"/>
      <c r="H198" s="86">
        <v>0</v>
      </c>
      <c r="I198" s="86">
        <v>0</v>
      </c>
      <c r="J198" s="86">
        <v>0</v>
      </c>
      <c r="K198" s="86">
        <v>0</v>
      </c>
      <c r="L198" s="86">
        <v>0</v>
      </c>
      <c r="M198" s="86">
        <f>VLOOKUP(F198,'Прайс Лазер'!$L$3:$M$9,2,0)</f>
        <v>94</v>
      </c>
      <c r="N198" s="86">
        <v>25</v>
      </c>
      <c r="O198" s="95">
        <f>VLOOKUP(E198,'Прайс Лазер'!$I$4:$J$21,2,0)</f>
        <v>1.1499999999999999</v>
      </c>
      <c r="P198" s="86">
        <f>HLOOKUP('Оценка лазера'!$E198,'Прайс Лазер'!$C$26:$T$34,1+VLOOKUP(F198,'Прайс Лазер'!$A$26:$B$34,2,0),0)</f>
        <v>21.849999999999998</v>
      </c>
      <c r="Q198" s="86">
        <f t="shared" si="27"/>
        <v>0</v>
      </c>
      <c r="R198" s="86">
        <f t="shared" si="28"/>
        <v>0</v>
      </c>
      <c r="S198" s="86">
        <f t="shared" si="29"/>
        <v>0</v>
      </c>
      <c r="T198" s="86">
        <f t="shared" si="31"/>
        <v>0</v>
      </c>
      <c r="U198" s="86">
        <f t="shared" si="30"/>
        <v>0</v>
      </c>
      <c r="V198" s="99">
        <f t="shared" si="32"/>
        <v>0</v>
      </c>
    </row>
    <row r="199" spans="1:25" ht="15" x14ac:dyDescent="0.25">
      <c r="A199" s="98">
        <f t="shared" si="33"/>
        <v>197</v>
      </c>
      <c r="B199" s="86"/>
      <c r="C199" s="86"/>
      <c r="D199" s="86"/>
      <c r="E199" s="86">
        <v>1</v>
      </c>
      <c r="F199" s="96" t="s">
        <v>85</v>
      </c>
      <c r="G199" s="86"/>
      <c r="H199" s="86">
        <v>0</v>
      </c>
      <c r="I199" s="86">
        <v>0</v>
      </c>
      <c r="J199" s="86">
        <v>0</v>
      </c>
      <c r="K199" s="86">
        <v>0</v>
      </c>
      <c r="L199" s="86">
        <v>0</v>
      </c>
      <c r="M199" s="86">
        <f>VLOOKUP(F199,'Прайс Лазер'!$L$3:$M$9,2,0)</f>
        <v>94</v>
      </c>
      <c r="N199" s="86">
        <v>25</v>
      </c>
      <c r="O199" s="95">
        <f>VLOOKUP(E199,'Прайс Лазер'!$I$4:$J$21,2,0)</f>
        <v>1.1499999999999999</v>
      </c>
      <c r="P199" s="86">
        <f>HLOOKUP('Оценка лазера'!$E199,'Прайс Лазер'!$C$26:$T$34,1+VLOOKUP(F199,'Прайс Лазер'!$A$26:$B$34,2,0),0)</f>
        <v>21.849999999999998</v>
      </c>
      <c r="Q199" s="86">
        <f t="shared" si="27"/>
        <v>0</v>
      </c>
      <c r="R199" s="86">
        <f t="shared" si="28"/>
        <v>0</v>
      </c>
      <c r="S199" s="86">
        <f t="shared" si="29"/>
        <v>0</v>
      </c>
      <c r="T199" s="86">
        <f t="shared" si="31"/>
        <v>0</v>
      </c>
      <c r="U199" s="86">
        <f t="shared" si="30"/>
        <v>0</v>
      </c>
      <c r="V199" s="99">
        <f t="shared" si="32"/>
        <v>0</v>
      </c>
    </row>
    <row r="200" spans="1:25" ht="15" x14ac:dyDescent="0.25">
      <c r="A200" s="98">
        <f t="shared" si="33"/>
        <v>198</v>
      </c>
      <c r="B200" s="86"/>
      <c r="C200" s="86"/>
      <c r="D200" s="86"/>
      <c r="E200" s="86">
        <v>1</v>
      </c>
      <c r="F200" s="96" t="s">
        <v>85</v>
      </c>
      <c r="G200" s="86"/>
      <c r="H200" s="86">
        <v>0</v>
      </c>
      <c r="I200" s="86">
        <v>0</v>
      </c>
      <c r="J200" s="86">
        <v>0</v>
      </c>
      <c r="K200" s="86">
        <v>0</v>
      </c>
      <c r="L200" s="86">
        <v>0</v>
      </c>
      <c r="M200" s="86">
        <f>VLOOKUP(F200,'Прайс Лазер'!$L$3:$M$9,2,0)</f>
        <v>94</v>
      </c>
      <c r="N200" s="86">
        <v>25</v>
      </c>
      <c r="O200" s="95">
        <f>VLOOKUP(E200,'Прайс Лазер'!$I$4:$J$21,2,0)</f>
        <v>1.1499999999999999</v>
      </c>
      <c r="P200" s="86">
        <f>HLOOKUP('Оценка лазера'!$E200,'Прайс Лазер'!$C$26:$T$34,1+VLOOKUP(F200,'Прайс Лазер'!$A$26:$B$34,2,0),0)</f>
        <v>21.849999999999998</v>
      </c>
      <c r="Q200" s="86">
        <f t="shared" si="27"/>
        <v>0</v>
      </c>
      <c r="R200" s="86">
        <f t="shared" si="28"/>
        <v>0</v>
      </c>
      <c r="S200" s="86">
        <f t="shared" si="29"/>
        <v>0</v>
      </c>
      <c r="T200" s="86">
        <f t="shared" si="31"/>
        <v>0</v>
      </c>
      <c r="U200" s="86">
        <f t="shared" si="30"/>
        <v>0</v>
      </c>
      <c r="V200" s="99">
        <f t="shared" si="32"/>
        <v>0</v>
      </c>
    </row>
    <row r="201" spans="1:25" ht="15" x14ac:dyDescent="0.25">
      <c r="A201" s="98">
        <f t="shared" si="33"/>
        <v>199</v>
      </c>
      <c r="B201" s="86"/>
      <c r="C201" s="86"/>
      <c r="D201" s="86"/>
      <c r="E201" s="86">
        <v>1</v>
      </c>
      <c r="F201" s="96" t="s">
        <v>85</v>
      </c>
      <c r="G201" s="86"/>
      <c r="H201" s="86">
        <v>0</v>
      </c>
      <c r="I201" s="86">
        <v>0</v>
      </c>
      <c r="J201" s="86">
        <v>0</v>
      </c>
      <c r="K201" s="86">
        <v>0</v>
      </c>
      <c r="L201" s="86">
        <v>0</v>
      </c>
      <c r="M201" s="86">
        <f>VLOOKUP(F201,'Прайс Лазер'!$L$3:$M$9,2,0)</f>
        <v>94</v>
      </c>
      <c r="N201" s="86">
        <v>25</v>
      </c>
      <c r="O201" s="95">
        <f>VLOOKUP(E201,'Прайс Лазер'!$I$4:$J$21,2,0)</f>
        <v>1.1499999999999999</v>
      </c>
      <c r="P201" s="86">
        <f>HLOOKUP('Оценка лазера'!$E201,'Прайс Лазер'!$C$26:$T$34,1+VLOOKUP(F201,'Прайс Лазер'!$A$26:$B$34,2,0),0)</f>
        <v>21.849999999999998</v>
      </c>
      <c r="Q201" s="86">
        <f t="shared" si="27"/>
        <v>0</v>
      </c>
      <c r="R201" s="86">
        <f t="shared" si="28"/>
        <v>0</v>
      </c>
      <c r="S201" s="86">
        <f t="shared" si="29"/>
        <v>0</v>
      </c>
      <c r="T201" s="86">
        <f t="shared" si="31"/>
        <v>0</v>
      </c>
      <c r="U201" s="86">
        <f t="shared" si="30"/>
        <v>0</v>
      </c>
      <c r="V201" s="99">
        <f t="shared" si="32"/>
        <v>0</v>
      </c>
    </row>
    <row r="202" spans="1:25" ht="15" x14ac:dyDescent="0.25">
      <c r="A202" s="98">
        <f t="shared" si="33"/>
        <v>200</v>
      </c>
      <c r="B202" s="86"/>
      <c r="C202" s="86"/>
      <c r="D202" s="86"/>
      <c r="E202" s="86">
        <v>1</v>
      </c>
      <c r="F202" s="96" t="s">
        <v>85</v>
      </c>
      <c r="G202" s="86"/>
      <c r="H202" s="86">
        <v>0</v>
      </c>
      <c r="I202" s="86">
        <v>0</v>
      </c>
      <c r="J202" s="86">
        <v>0</v>
      </c>
      <c r="K202" s="86">
        <v>0</v>
      </c>
      <c r="L202" s="86">
        <v>0</v>
      </c>
      <c r="M202" s="86">
        <f>VLOOKUP(F202,'Прайс Лазер'!$L$3:$M$9,2,0)</f>
        <v>94</v>
      </c>
      <c r="N202" s="86">
        <v>25</v>
      </c>
      <c r="O202" s="95">
        <f>VLOOKUP(E202,'Прайс Лазер'!$I$4:$J$21,2,0)</f>
        <v>1.1499999999999999</v>
      </c>
      <c r="P202" s="86">
        <f>HLOOKUP('Оценка лазера'!$E202,'Прайс Лазер'!$C$26:$T$34,1+VLOOKUP(F202,'Прайс Лазер'!$A$26:$B$34,2,0),0)</f>
        <v>21.849999999999998</v>
      </c>
      <c r="Q202" s="86">
        <f t="shared" si="27"/>
        <v>0</v>
      </c>
      <c r="R202" s="86">
        <f t="shared" si="28"/>
        <v>0</v>
      </c>
      <c r="S202" s="86">
        <f t="shared" si="29"/>
        <v>0</v>
      </c>
      <c r="T202" s="86">
        <f t="shared" si="31"/>
        <v>0</v>
      </c>
      <c r="U202" s="86">
        <f t="shared" si="30"/>
        <v>0</v>
      </c>
      <c r="V202" s="99">
        <f t="shared" si="32"/>
        <v>0</v>
      </c>
    </row>
    <row r="203" spans="1:25" ht="15" x14ac:dyDescent="0.25">
      <c r="A203" s="98">
        <f t="shared" si="33"/>
        <v>201</v>
      </c>
      <c r="B203" s="86"/>
      <c r="C203" s="86"/>
      <c r="D203" s="86"/>
      <c r="E203" s="86">
        <v>1</v>
      </c>
      <c r="F203" s="96" t="s">
        <v>85</v>
      </c>
      <c r="G203" s="86"/>
      <c r="H203" s="86">
        <v>0</v>
      </c>
      <c r="I203" s="86">
        <v>0</v>
      </c>
      <c r="J203" s="86">
        <v>0</v>
      </c>
      <c r="K203" s="86">
        <v>0</v>
      </c>
      <c r="L203" s="86">
        <v>0</v>
      </c>
      <c r="M203" s="86">
        <f>VLOOKUP(F203,'Прайс Лазер'!$L$3:$M$9,2,0)</f>
        <v>94</v>
      </c>
      <c r="N203" s="86">
        <v>25</v>
      </c>
      <c r="O203" s="95">
        <f>VLOOKUP(E203,'Прайс Лазер'!$I$4:$J$21,2,0)</f>
        <v>1.1499999999999999</v>
      </c>
      <c r="P203" s="86">
        <f>HLOOKUP('Оценка лазера'!$E203,'Прайс Лазер'!$C$26:$T$34,1+VLOOKUP(F203,'Прайс Лазер'!$A$26:$B$34,2,0),0)</f>
        <v>21.849999999999998</v>
      </c>
      <c r="Q203" s="86">
        <f t="shared" si="27"/>
        <v>0</v>
      </c>
      <c r="R203" s="86">
        <f t="shared" si="28"/>
        <v>0</v>
      </c>
      <c r="S203" s="86">
        <f t="shared" si="29"/>
        <v>0</v>
      </c>
      <c r="T203" s="86">
        <f t="shared" si="31"/>
        <v>0</v>
      </c>
      <c r="U203" s="86">
        <f t="shared" si="30"/>
        <v>0</v>
      </c>
      <c r="V203" s="99">
        <f t="shared" si="32"/>
        <v>0</v>
      </c>
    </row>
    <row r="204" spans="1:25" ht="15" x14ac:dyDescent="0.25">
      <c r="A204" s="98">
        <f t="shared" si="33"/>
        <v>202</v>
      </c>
      <c r="B204" s="86"/>
      <c r="C204" s="86"/>
      <c r="D204" s="86"/>
      <c r="E204" s="86">
        <v>1</v>
      </c>
      <c r="F204" s="96" t="s">
        <v>85</v>
      </c>
      <c r="G204" s="86"/>
      <c r="H204" s="86">
        <v>0</v>
      </c>
      <c r="I204" s="86">
        <v>0</v>
      </c>
      <c r="J204" s="86">
        <v>0</v>
      </c>
      <c r="K204" s="86">
        <v>0</v>
      </c>
      <c r="L204" s="86">
        <v>0</v>
      </c>
      <c r="M204" s="86">
        <f>VLOOKUP(F204,'Прайс Лазер'!$L$3:$M$9,2,0)</f>
        <v>94</v>
      </c>
      <c r="N204" s="86">
        <v>25</v>
      </c>
      <c r="O204" s="95">
        <f>VLOOKUP(E204,'Прайс Лазер'!$I$4:$J$21,2,0)</f>
        <v>1.1499999999999999</v>
      </c>
      <c r="P204" s="86">
        <f>HLOOKUP('Оценка лазера'!$E204,'Прайс Лазер'!$C$26:$T$34,1+VLOOKUP(F204,'Прайс Лазер'!$A$26:$B$34,2,0),0)</f>
        <v>21.849999999999998</v>
      </c>
      <c r="Q204" s="86">
        <f t="shared" si="27"/>
        <v>0</v>
      </c>
      <c r="R204" s="86">
        <f t="shared" si="28"/>
        <v>0</v>
      </c>
      <c r="S204" s="86">
        <f t="shared" si="29"/>
        <v>0</v>
      </c>
      <c r="T204" s="86">
        <f t="shared" si="31"/>
        <v>0</v>
      </c>
      <c r="U204" s="86">
        <f t="shared" si="30"/>
        <v>0</v>
      </c>
      <c r="V204" s="99">
        <f t="shared" si="32"/>
        <v>0</v>
      </c>
    </row>
    <row r="205" spans="1:25" ht="15" x14ac:dyDescent="0.25">
      <c r="A205" s="98">
        <f t="shared" si="33"/>
        <v>203</v>
      </c>
      <c r="B205" s="86"/>
      <c r="C205" s="86"/>
      <c r="D205" s="86"/>
      <c r="E205" s="86">
        <v>1</v>
      </c>
      <c r="F205" s="96" t="s">
        <v>85</v>
      </c>
      <c r="G205" s="86"/>
      <c r="H205" s="86">
        <v>0</v>
      </c>
      <c r="I205" s="86">
        <v>0</v>
      </c>
      <c r="J205" s="86">
        <v>0</v>
      </c>
      <c r="K205" s="86">
        <v>0</v>
      </c>
      <c r="L205" s="86">
        <v>0</v>
      </c>
      <c r="M205" s="86">
        <f>VLOOKUP(F205,'Прайс Лазер'!$L$3:$M$9,2,0)</f>
        <v>94</v>
      </c>
      <c r="N205" s="86">
        <v>25</v>
      </c>
      <c r="O205" s="95">
        <f>VLOOKUP(E205,'Прайс Лазер'!$I$4:$J$21,2,0)</f>
        <v>1.1499999999999999</v>
      </c>
      <c r="P205" s="86">
        <f>HLOOKUP('Оценка лазера'!$E205,'Прайс Лазер'!$C$26:$T$34,1+VLOOKUP(F205,'Прайс Лазер'!$A$26:$B$34,2,0),0)</f>
        <v>21.849999999999998</v>
      </c>
      <c r="Q205" s="86">
        <f t="shared" si="27"/>
        <v>0</v>
      </c>
      <c r="R205" s="86">
        <f t="shared" si="28"/>
        <v>0</v>
      </c>
      <c r="S205" s="86">
        <f t="shared" si="29"/>
        <v>0</v>
      </c>
      <c r="T205" s="86">
        <f t="shared" si="31"/>
        <v>0</v>
      </c>
      <c r="U205" s="86">
        <f t="shared" si="30"/>
        <v>0</v>
      </c>
      <c r="V205" s="99">
        <f t="shared" si="32"/>
        <v>0</v>
      </c>
    </row>
    <row r="206" spans="1:25" ht="15" x14ac:dyDescent="0.25">
      <c r="A206" s="98">
        <f t="shared" si="33"/>
        <v>204</v>
      </c>
      <c r="B206" s="86"/>
      <c r="C206" s="86"/>
      <c r="D206" s="86"/>
      <c r="E206" s="86">
        <v>1</v>
      </c>
      <c r="F206" s="96" t="s">
        <v>85</v>
      </c>
      <c r="G206" s="86"/>
      <c r="H206" s="86">
        <v>0</v>
      </c>
      <c r="I206" s="86">
        <v>0</v>
      </c>
      <c r="J206" s="86">
        <v>0</v>
      </c>
      <c r="K206" s="86">
        <v>0</v>
      </c>
      <c r="L206" s="86">
        <v>0</v>
      </c>
      <c r="M206" s="86">
        <f>VLOOKUP(F206,'Прайс Лазер'!$L$3:$M$9,2,0)</f>
        <v>94</v>
      </c>
      <c r="N206" s="86">
        <v>25</v>
      </c>
      <c r="O206" s="95">
        <f>VLOOKUP(E206,'Прайс Лазер'!$I$4:$J$21,2,0)</f>
        <v>1.1499999999999999</v>
      </c>
      <c r="P206" s="86">
        <f>HLOOKUP('Оценка лазера'!$E206,'Прайс Лазер'!$C$26:$T$34,1+VLOOKUP(F206,'Прайс Лазер'!$A$26:$B$34,2,0),0)</f>
        <v>21.849999999999998</v>
      </c>
      <c r="Q206" s="86">
        <f t="shared" si="27"/>
        <v>0</v>
      </c>
      <c r="R206" s="86">
        <f t="shared" si="28"/>
        <v>0</v>
      </c>
      <c r="S206" s="86">
        <f t="shared" si="29"/>
        <v>0</v>
      </c>
      <c r="T206" s="86">
        <f t="shared" si="31"/>
        <v>0</v>
      </c>
      <c r="U206" s="86">
        <f t="shared" si="30"/>
        <v>0</v>
      </c>
      <c r="V206" s="99">
        <f t="shared" si="32"/>
        <v>0</v>
      </c>
      <c r="Y206" s="13"/>
    </row>
    <row r="207" spans="1:25" ht="15" x14ac:dyDescent="0.25">
      <c r="A207" s="98">
        <f t="shared" si="33"/>
        <v>205</v>
      </c>
      <c r="B207" s="86"/>
      <c r="C207" s="86"/>
      <c r="D207" s="86"/>
      <c r="E207" s="86">
        <v>1</v>
      </c>
      <c r="F207" s="96" t="s">
        <v>85</v>
      </c>
      <c r="G207" s="86"/>
      <c r="H207" s="86">
        <v>0</v>
      </c>
      <c r="I207" s="86">
        <v>0</v>
      </c>
      <c r="J207" s="86">
        <v>0</v>
      </c>
      <c r="K207" s="86">
        <v>0</v>
      </c>
      <c r="L207" s="86">
        <v>0</v>
      </c>
      <c r="M207" s="86">
        <f>VLOOKUP(F207,'Прайс Лазер'!$L$3:$M$9,2,0)</f>
        <v>94</v>
      </c>
      <c r="N207" s="86">
        <v>25</v>
      </c>
      <c r="O207" s="95">
        <f>VLOOKUP(E207,'Прайс Лазер'!$I$4:$J$21,2,0)</f>
        <v>1.1499999999999999</v>
      </c>
      <c r="P207" s="86">
        <f>HLOOKUP('Оценка лазера'!$E207,'Прайс Лазер'!$C$26:$T$34,1+VLOOKUP(F207,'Прайс Лазер'!$A$26:$B$34,2,0),0)</f>
        <v>21.849999999999998</v>
      </c>
      <c r="Q207" s="86">
        <f t="shared" si="27"/>
        <v>0</v>
      </c>
      <c r="R207" s="86">
        <f t="shared" si="28"/>
        <v>0</v>
      </c>
      <c r="S207" s="86">
        <f t="shared" si="29"/>
        <v>0</v>
      </c>
      <c r="T207" s="86">
        <f t="shared" si="31"/>
        <v>0</v>
      </c>
      <c r="U207" s="86">
        <f t="shared" si="30"/>
        <v>0</v>
      </c>
      <c r="V207" s="99">
        <f t="shared" si="32"/>
        <v>0</v>
      </c>
    </row>
    <row r="208" spans="1:25" ht="15" x14ac:dyDescent="0.25">
      <c r="A208" s="98">
        <f t="shared" si="33"/>
        <v>206</v>
      </c>
      <c r="B208" s="86"/>
      <c r="C208" s="86"/>
      <c r="D208" s="86"/>
      <c r="E208" s="86">
        <v>1</v>
      </c>
      <c r="F208" s="96" t="s">
        <v>85</v>
      </c>
      <c r="G208" s="86"/>
      <c r="H208" s="86">
        <v>0</v>
      </c>
      <c r="I208" s="86">
        <v>0</v>
      </c>
      <c r="J208" s="86">
        <v>0</v>
      </c>
      <c r="K208" s="86">
        <v>0</v>
      </c>
      <c r="L208" s="86">
        <v>0</v>
      </c>
      <c r="M208" s="86">
        <f>VLOOKUP(F208,'Прайс Лазер'!$L$3:$M$9,2,0)</f>
        <v>94</v>
      </c>
      <c r="N208" s="86">
        <v>25</v>
      </c>
      <c r="O208" s="95">
        <f>VLOOKUP(E208,'Прайс Лазер'!$I$4:$J$21,2,0)</f>
        <v>1.1499999999999999</v>
      </c>
      <c r="P208" s="86">
        <f>HLOOKUP('Оценка лазера'!$E208,'Прайс Лазер'!$C$26:$T$34,1+VLOOKUP(F208,'Прайс Лазер'!$A$26:$B$34,2,0),0)</f>
        <v>21.849999999999998</v>
      </c>
      <c r="Q208" s="86">
        <f t="shared" si="27"/>
        <v>0</v>
      </c>
      <c r="R208" s="86">
        <f t="shared" si="28"/>
        <v>0</v>
      </c>
      <c r="S208" s="86">
        <f t="shared" si="29"/>
        <v>0</v>
      </c>
      <c r="T208" s="86">
        <f t="shared" si="31"/>
        <v>0</v>
      </c>
      <c r="U208" s="86">
        <f t="shared" si="30"/>
        <v>0</v>
      </c>
      <c r="V208" s="99">
        <f t="shared" si="32"/>
        <v>0</v>
      </c>
    </row>
    <row r="209" spans="1:22" ht="15" x14ac:dyDescent="0.25">
      <c r="A209" s="98">
        <f t="shared" si="33"/>
        <v>207</v>
      </c>
      <c r="B209" s="86"/>
      <c r="C209" s="86"/>
      <c r="D209" s="86"/>
      <c r="E209" s="86">
        <v>1</v>
      </c>
      <c r="F209" s="96" t="s">
        <v>85</v>
      </c>
      <c r="G209" s="86"/>
      <c r="H209" s="86">
        <v>0</v>
      </c>
      <c r="I209" s="86">
        <v>0</v>
      </c>
      <c r="J209" s="86">
        <v>0</v>
      </c>
      <c r="K209" s="86">
        <v>0</v>
      </c>
      <c r="L209" s="86">
        <v>0</v>
      </c>
      <c r="M209" s="86">
        <f>VLOOKUP(F209,'Прайс Лазер'!$L$3:$M$9,2,0)</f>
        <v>94</v>
      </c>
      <c r="N209" s="86">
        <v>25</v>
      </c>
      <c r="O209" s="95">
        <f>VLOOKUP(E209,'Прайс Лазер'!$I$4:$J$21,2,0)</f>
        <v>1.1499999999999999</v>
      </c>
      <c r="P209" s="86">
        <f>HLOOKUP('Оценка лазера'!$E209,'Прайс Лазер'!$C$26:$T$34,1+VLOOKUP(F209,'Прайс Лазер'!$A$26:$B$34,2,0),0)</f>
        <v>21.849999999999998</v>
      </c>
      <c r="Q209" s="86">
        <f t="shared" si="27"/>
        <v>0</v>
      </c>
      <c r="R209" s="86">
        <f t="shared" si="28"/>
        <v>0</v>
      </c>
      <c r="S209" s="86">
        <f t="shared" si="29"/>
        <v>0</v>
      </c>
      <c r="T209" s="86">
        <f t="shared" si="31"/>
        <v>0</v>
      </c>
      <c r="U209" s="86">
        <f t="shared" si="30"/>
        <v>0</v>
      </c>
      <c r="V209" s="99">
        <f t="shared" si="32"/>
        <v>0</v>
      </c>
    </row>
    <row r="210" spans="1:22" ht="15" x14ac:dyDescent="0.25">
      <c r="A210" s="98">
        <f t="shared" si="33"/>
        <v>208</v>
      </c>
      <c r="B210" s="86"/>
      <c r="C210" s="86"/>
      <c r="D210" s="86"/>
      <c r="E210" s="86">
        <v>1</v>
      </c>
      <c r="F210" s="96" t="s">
        <v>85</v>
      </c>
      <c r="G210" s="86"/>
      <c r="H210" s="86">
        <v>0</v>
      </c>
      <c r="I210" s="86">
        <v>0</v>
      </c>
      <c r="J210" s="86">
        <v>0</v>
      </c>
      <c r="K210" s="86">
        <v>0</v>
      </c>
      <c r="L210" s="86">
        <v>0</v>
      </c>
      <c r="M210" s="86">
        <f>VLOOKUP(F210,'Прайс Лазер'!$L$3:$M$9,2,0)</f>
        <v>94</v>
      </c>
      <c r="N210" s="86">
        <v>25</v>
      </c>
      <c r="O210" s="95">
        <f>VLOOKUP(E210,'Прайс Лазер'!$I$4:$J$21,2,0)</f>
        <v>1.1499999999999999</v>
      </c>
      <c r="P210" s="86">
        <f>HLOOKUP('Оценка лазера'!$E210,'Прайс Лазер'!$C$26:$T$34,1+VLOOKUP(F210,'Прайс Лазер'!$A$26:$B$34,2,0),0)</f>
        <v>21.849999999999998</v>
      </c>
      <c r="Q210" s="86">
        <f t="shared" si="27"/>
        <v>0</v>
      </c>
      <c r="R210" s="86">
        <f t="shared" si="28"/>
        <v>0</v>
      </c>
      <c r="S210" s="86">
        <f t="shared" si="29"/>
        <v>0</v>
      </c>
      <c r="T210" s="86">
        <f t="shared" si="31"/>
        <v>0</v>
      </c>
      <c r="U210" s="86">
        <f t="shared" si="30"/>
        <v>0</v>
      </c>
      <c r="V210" s="99">
        <f t="shared" si="32"/>
        <v>0</v>
      </c>
    </row>
    <row r="211" spans="1:22" ht="15" x14ac:dyDescent="0.25">
      <c r="A211" s="98">
        <f t="shared" si="33"/>
        <v>209</v>
      </c>
      <c r="B211" s="86"/>
      <c r="C211" s="86"/>
      <c r="D211" s="86"/>
      <c r="E211" s="86">
        <v>1</v>
      </c>
      <c r="F211" s="96" t="s">
        <v>85</v>
      </c>
      <c r="G211" s="86"/>
      <c r="H211" s="86">
        <v>0</v>
      </c>
      <c r="I211" s="86">
        <v>0</v>
      </c>
      <c r="J211" s="86">
        <v>0</v>
      </c>
      <c r="K211" s="86">
        <v>0</v>
      </c>
      <c r="L211" s="86">
        <v>0</v>
      </c>
      <c r="M211" s="86">
        <f>VLOOKUP(F211,'Прайс Лазер'!$L$3:$M$9,2,0)</f>
        <v>94</v>
      </c>
      <c r="N211" s="86">
        <v>25</v>
      </c>
      <c r="O211" s="95">
        <f>VLOOKUP(E211,'Прайс Лазер'!$I$4:$J$21,2,0)</f>
        <v>1.1499999999999999</v>
      </c>
      <c r="P211" s="86">
        <f>HLOOKUP('Оценка лазера'!$E211,'Прайс Лазер'!$C$26:$T$34,1+VLOOKUP(F211,'Прайс Лазер'!$A$26:$B$34,2,0),0)</f>
        <v>21.849999999999998</v>
      </c>
      <c r="Q211" s="86">
        <f t="shared" si="27"/>
        <v>0</v>
      </c>
      <c r="R211" s="86">
        <f t="shared" si="28"/>
        <v>0</v>
      </c>
      <c r="S211" s="86">
        <f t="shared" si="29"/>
        <v>0</v>
      </c>
      <c r="T211" s="86">
        <f t="shared" si="31"/>
        <v>0</v>
      </c>
      <c r="U211" s="86">
        <f t="shared" si="30"/>
        <v>0</v>
      </c>
      <c r="V211" s="99">
        <f t="shared" si="32"/>
        <v>0</v>
      </c>
    </row>
    <row r="212" spans="1:22" ht="15" x14ac:dyDescent="0.25">
      <c r="A212" s="98">
        <f t="shared" si="33"/>
        <v>210</v>
      </c>
      <c r="B212" s="86"/>
      <c r="C212" s="86"/>
      <c r="D212" s="86"/>
      <c r="E212" s="86">
        <v>1</v>
      </c>
      <c r="F212" s="96" t="s">
        <v>85</v>
      </c>
      <c r="G212" s="86"/>
      <c r="H212" s="86">
        <v>0</v>
      </c>
      <c r="I212" s="86">
        <v>0</v>
      </c>
      <c r="J212" s="86">
        <v>0</v>
      </c>
      <c r="K212" s="86">
        <v>0</v>
      </c>
      <c r="L212" s="86">
        <v>0</v>
      </c>
      <c r="M212" s="86">
        <f>VLOOKUP(F212,'Прайс Лазер'!$L$3:$M$9,2,0)</f>
        <v>94</v>
      </c>
      <c r="N212" s="86">
        <v>25</v>
      </c>
      <c r="O212" s="95">
        <f>VLOOKUP(E212,'Прайс Лазер'!$I$4:$J$21,2,0)</f>
        <v>1.1499999999999999</v>
      </c>
      <c r="P212" s="86">
        <f>HLOOKUP('Оценка лазера'!$E212,'Прайс Лазер'!$C$26:$T$34,1+VLOOKUP(F212,'Прайс Лазер'!$A$26:$B$34,2,0),0)</f>
        <v>21.849999999999998</v>
      </c>
      <c r="Q212" s="86">
        <f t="shared" si="27"/>
        <v>0</v>
      </c>
      <c r="R212" s="86">
        <f t="shared" si="28"/>
        <v>0</v>
      </c>
      <c r="S212" s="86">
        <f t="shared" si="29"/>
        <v>0</v>
      </c>
      <c r="T212" s="86">
        <f t="shared" si="31"/>
        <v>0</v>
      </c>
      <c r="U212" s="86">
        <f t="shared" si="30"/>
        <v>0</v>
      </c>
      <c r="V212" s="99">
        <f t="shared" si="32"/>
        <v>0</v>
      </c>
    </row>
    <row r="213" spans="1:22" ht="15" x14ac:dyDescent="0.25">
      <c r="A213" s="98">
        <f t="shared" si="33"/>
        <v>211</v>
      </c>
      <c r="B213" s="86"/>
      <c r="C213" s="86"/>
      <c r="D213" s="86"/>
      <c r="E213" s="86">
        <v>1</v>
      </c>
      <c r="F213" s="96" t="s">
        <v>85</v>
      </c>
      <c r="G213" s="86"/>
      <c r="H213" s="86">
        <v>0</v>
      </c>
      <c r="I213" s="86">
        <v>0</v>
      </c>
      <c r="J213" s="86">
        <v>0</v>
      </c>
      <c r="K213" s="86">
        <v>0</v>
      </c>
      <c r="L213" s="86">
        <v>0</v>
      </c>
      <c r="M213" s="86">
        <f>VLOOKUP(F213,'Прайс Лазер'!$L$3:$M$9,2,0)</f>
        <v>94</v>
      </c>
      <c r="N213" s="86">
        <v>25</v>
      </c>
      <c r="O213" s="95">
        <f>VLOOKUP(E213,'Прайс Лазер'!$I$4:$J$21,2,0)</f>
        <v>1.1499999999999999</v>
      </c>
      <c r="P213" s="86">
        <f>HLOOKUP('Оценка лазера'!$E213,'Прайс Лазер'!$C$26:$T$34,1+VLOOKUP(F213,'Прайс Лазер'!$A$26:$B$34,2,0),0)</f>
        <v>21.849999999999998</v>
      </c>
      <c r="Q213" s="86">
        <f t="shared" si="27"/>
        <v>0</v>
      </c>
      <c r="R213" s="86">
        <f t="shared" si="28"/>
        <v>0</v>
      </c>
      <c r="S213" s="86">
        <f t="shared" si="29"/>
        <v>0</v>
      </c>
      <c r="T213" s="86">
        <f t="shared" si="31"/>
        <v>0</v>
      </c>
      <c r="U213" s="86">
        <f t="shared" si="30"/>
        <v>0</v>
      </c>
      <c r="V213" s="99">
        <f t="shared" si="32"/>
        <v>0</v>
      </c>
    </row>
    <row r="214" spans="1:22" ht="15" x14ac:dyDescent="0.25">
      <c r="A214" s="98">
        <f t="shared" si="33"/>
        <v>212</v>
      </c>
      <c r="B214" s="86"/>
      <c r="C214" s="86"/>
      <c r="D214" s="86"/>
      <c r="E214" s="86">
        <v>1</v>
      </c>
      <c r="F214" s="96" t="s">
        <v>85</v>
      </c>
      <c r="G214" s="86"/>
      <c r="H214" s="86">
        <v>0</v>
      </c>
      <c r="I214" s="86">
        <v>0</v>
      </c>
      <c r="J214" s="86">
        <v>0</v>
      </c>
      <c r="K214" s="86">
        <v>0</v>
      </c>
      <c r="L214" s="86">
        <v>0</v>
      </c>
      <c r="M214" s="86">
        <f>VLOOKUP(F214,'Прайс Лазер'!$L$3:$M$9,2,0)</f>
        <v>94</v>
      </c>
      <c r="N214" s="86">
        <v>25</v>
      </c>
      <c r="O214" s="95">
        <f>VLOOKUP(E214,'Прайс Лазер'!$I$4:$J$21,2,0)</f>
        <v>1.1499999999999999</v>
      </c>
      <c r="P214" s="86">
        <f>HLOOKUP('Оценка лазера'!$E214,'Прайс Лазер'!$C$26:$T$34,1+VLOOKUP(F214,'Прайс Лазер'!$A$26:$B$34,2,0),0)</f>
        <v>21.849999999999998</v>
      </c>
      <c r="Q214" s="86">
        <f t="shared" si="27"/>
        <v>0</v>
      </c>
      <c r="R214" s="86">
        <f t="shared" si="28"/>
        <v>0</v>
      </c>
      <c r="S214" s="86">
        <f t="shared" si="29"/>
        <v>0</v>
      </c>
      <c r="T214" s="86">
        <f t="shared" si="31"/>
        <v>0</v>
      </c>
      <c r="U214" s="86">
        <f t="shared" si="30"/>
        <v>0</v>
      </c>
      <c r="V214" s="99">
        <f t="shared" si="32"/>
        <v>0</v>
      </c>
    </row>
    <row r="215" spans="1:22" ht="15" x14ac:dyDescent="0.25">
      <c r="A215" s="98">
        <f t="shared" si="33"/>
        <v>213</v>
      </c>
      <c r="B215" s="86"/>
      <c r="C215" s="86"/>
      <c r="D215" s="86"/>
      <c r="E215" s="86">
        <v>1</v>
      </c>
      <c r="F215" s="96" t="s">
        <v>85</v>
      </c>
      <c r="G215" s="86"/>
      <c r="H215" s="86">
        <v>0</v>
      </c>
      <c r="I215" s="86">
        <v>0</v>
      </c>
      <c r="J215" s="86">
        <v>0</v>
      </c>
      <c r="K215" s="86">
        <v>0</v>
      </c>
      <c r="L215" s="86">
        <v>0</v>
      </c>
      <c r="M215" s="86">
        <f>VLOOKUP(F215,'Прайс Лазер'!$L$3:$M$9,2,0)</f>
        <v>94</v>
      </c>
      <c r="N215" s="86">
        <v>25</v>
      </c>
      <c r="O215" s="95">
        <f>VLOOKUP(E215,'Прайс Лазер'!$I$4:$J$21,2,0)</f>
        <v>1.1499999999999999</v>
      </c>
      <c r="P215" s="86">
        <f>HLOOKUP('Оценка лазера'!$E215,'Прайс Лазер'!$C$26:$T$34,1+VLOOKUP(F215,'Прайс Лазер'!$A$26:$B$34,2,0),0)</f>
        <v>21.849999999999998</v>
      </c>
      <c r="Q215" s="86">
        <f t="shared" si="27"/>
        <v>0</v>
      </c>
      <c r="R215" s="86">
        <f t="shared" si="28"/>
        <v>0</v>
      </c>
      <c r="S215" s="86">
        <f t="shared" si="29"/>
        <v>0</v>
      </c>
      <c r="T215" s="86">
        <f t="shared" si="31"/>
        <v>0</v>
      </c>
      <c r="U215" s="86">
        <f t="shared" si="30"/>
        <v>0</v>
      </c>
      <c r="V215" s="99">
        <f t="shared" si="32"/>
        <v>0</v>
      </c>
    </row>
    <row r="216" spans="1:22" ht="15" x14ac:dyDescent="0.25">
      <c r="A216" s="98">
        <f t="shared" si="33"/>
        <v>214</v>
      </c>
      <c r="B216" s="86"/>
      <c r="C216" s="86"/>
      <c r="D216" s="86"/>
      <c r="E216" s="86">
        <v>1</v>
      </c>
      <c r="F216" s="96" t="s">
        <v>85</v>
      </c>
      <c r="G216" s="86"/>
      <c r="H216" s="86">
        <v>0</v>
      </c>
      <c r="I216" s="86">
        <v>0</v>
      </c>
      <c r="J216" s="86">
        <v>0</v>
      </c>
      <c r="K216" s="86">
        <v>0</v>
      </c>
      <c r="L216" s="86">
        <v>0</v>
      </c>
      <c r="M216" s="86">
        <f>VLOOKUP(F216,'Прайс Лазер'!$L$3:$M$9,2,0)</f>
        <v>94</v>
      </c>
      <c r="N216" s="86">
        <v>25</v>
      </c>
      <c r="O216" s="95">
        <f>VLOOKUP(E216,'Прайс Лазер'!$I$4:$J$21,2,0)</f>
        <v>1.1499999999999999</v>
      </c>
      <c r="P216" s="86">
        <f>HLOOKUP('Оценка лазера'!$E216,'Прайс Лазер'!$C$26:$T$34,1+VLOOKUP(F216,'Прайс Лазер'!$A$26:$B$34,2,0),0)</f>
        <v>21.849999999999998</v>
      </c>
      <c r="Q216" s="86">
        <f t="shared" si="27"/>
        <v>0</v>
      </c>
      <c r="R216" s="86">
        <f t="shared" si="28"/>
        <v>0</v>
      </c>
      <c r="S216" s="86">
        <f t="shared" si="29"/>
        <v>0</v>
      </c>
      <c r="T216" s="86">
        <f t="shared" si="31"/>
        <v>0</v>
      </c>
      <c r="U216" s="86">
        <f t="shared" si="30"/>
        <v>0</v>
      </c>
      <c r="V216" s="99">
        <f t="shared" si="32"/>
        <v>0</v>
      </c>
    </row>
    <row r="217" spans="1:22" ht="15" x14ac:dyDescent="0.25">
      <c r="A217" s="98">
        <f t="shared" si="33"/>
        <v>215</v>
      </c>
      <c r="B217" s="86"/>
      <c r="C217" s="86"/>
      <c r="D217" s="86"/>
      <c r="E217" s="86">
        <v>1</v>
      </c>
      <c r="F217" s="96" t="s">
        <v>85</v>
      </c>
      <c r="G217" s="86"/>
      <c r="H217" s="86">
        <v>0</v>
      </c>
      <c r="I217" s="86">
        <v>0</v>
      </c>
      <c r="J217" s="86">
        <v>0</v>
      </c>
      <c r="K217" s="86">
        <v>0</v>
      </c>
      <c r="L217" s="86">
        <v>0</v>
      </c>
      <c r="M217" s="86">
        <f>VLOOKUP(F217,'Прайс Лазер'!$L$3:$M$9,2,0)</f>
        <v>94</v>
      </c>
      <c r="N217" s="86">
        <v>25</v>
      </c>
      <c r="O217" s="95">
        <f>VLOOKUP(E217,'Прайс Лазер'!$I$4:$J$21,2,0)</f>
        <v>1.1499999999999999</v>
      </c>
      <c r="P217" s="86">
        <f>HLOOKUP('Оценка лазера'!$E217,'Прайс Лазер'!$C$26:$T$34,1+VLOOKUP(F217,'Прайс Лазер'!$A$26:$B$34,2,0),0)</f>
        <v>21.849999999999998</v>
      </c>
      <c r="Q217" s="86">
        <f t="shared" si="27"/>
        <v>0</v>
      </c>
      <c r="R217" s="86">
        <f t="shared" si="28"/>
        <v>0</v>
      </c>
      <c r="S217" s="86">
        <f t="shared" si="29"/>
        <v>0</v>
      </c>
      <c r="T217" s="86">
        <f t="shared" si="31"/>
        <v>0</v>
      </c>
      <c r="U217" s="86">
        <f t="shared" si="30"/>
        <v>0</v>
      </c>
      <c r="V217" s="99">
        <f t="shared" si="32"/>
        <v>0</v>
      </c>
    </row>
    <row r="218" spans="1:22" ht="15" x14ac:dyDescent="0.25">
      <c r="A218" s="98">
        <f t="shared" si="33"/>
        <v>216</v>
      </c>
      <c r="B218" s="86"/>
      <c r="C218" s="86"/>
      <c r="D218" s="86"/>
      <c r="E218" s="86">
        <v>1</v>
      </c>
      <c r="F218" s="96" t="s">
        <v>85</v>
      </c>
      <c r="G218" s="86"/>
      <c r="H218" s="86">
        <v>0</v>
      </c>
      <c r="I218" s="86">
        <v>0</v>
      </c>
      <c r="J218" s="86">
        <v>0</v>
      </c>
      <c r="K218" s="86">
        <v>0</v>
      </c>
      <c r="L218" s="86">
        <v>0</v>
      </c>
      <c r="M218" s="86">
        <f>VLOOKUP(F218,'Прайс Лазер'!$L$3:$M$9,2,0)</f>
        <v>94</v>
      </c>
      <c r="N218" s="86">
        <v>25</v>
      </c>
      <c r="O218" s="95">
        <f>VLOOKUP(E218,'Прайс Лазер'!$I$4:$J$21,2,0)</f>
        <v>1.1499999999999999</v>
      </c>
      <c r="P218" s="86">
        <f>HLOOKUP('Оценка лазера'!$E218,'Прайс Лазер'!$C$26:$T$34,1+VLOOKUP(F218,'Прайс Лазер'!$A$26:$B$34,2,0),0)</f>
        <v>21.849999999999998</v>
      </c>
      <c r="Q218" s="86">
        <f t="shared" si="27"/>
        <v>0</v>
      </c>
      <c r="R218" s="86">
        <f t="shared" si="28"/>
        <v>0</v>
      </c>
      <c r="S218" s="86">
        <f t="shared" si="29"/>
        <v>0</v>
      </c>
      <c r="T218" s="86">
        <f t="shared" si="31"/>
        <v>0</v>
      </c>
      <c r="U218" s="86">
        <f t="shared" si="30"/>
        <v>0</v>
      </c>
      <c r="V218" s="99">
        <f t="shared" si="32"/>
        <v>0</v>
      </c>
    </row>
    <row r="219" spans="1:22" ht="15" x14ac:dyDescent="0.25">
      <c r="A219" s="98">
        <f t="shared" si="33"/>
        <v>217</v>
      </c>
      <c r="B219" s="86"/>
      <c r="C219" s="86"/>
      <c r="D219" s="86"/>
      <c r="E219" s="86">
        <v>1</v>
      </c>
      <c r="F219" s="96" t="s">
        <v>85</v>
      </c>
      <c r="G219" s="86"/>
      <c r="H219" s="86">
        <v>0</v>
      </c>
      <c r="I219" s="86">
        <v>0</v>
      </c>
      <c r="J219" s="86">
        <v>0</v>
      </c>
      <c r="K219" s="86">
        <v>0</v>
      </c>
      <c r="L219" s="86">
        <v>0</v>
      </c>
      <c r="M219" s="86">
        <f>VLOOKUP(F219,'Прайс Лазер'!$L$3:$M$9,2,0)</f>
        <v>94</v>
      </c>
      <c r="N219" s="86">
        <v>25</v>
      </c>
      <c r="O219" s="95">
        <f>VLOOKUP(E219,'Прайс Лазер'!$I$4:$J$21,2,0)</f>
        <v>1.1499999999999999</v>
      </c>
      <c r="P219" s="86">
        <f>HLOOKUP('Оценка лазера'!$E219,'Прайс Лазер'!$C$26:$T$34,1+VLOOKUP(F219,'Прайс Лазер'!$A$26:$B$34,2,0),0)</f>
        <v>21.849999999999998</v>
      </c>
      <c r="Q219" s="86">
        <f t="shared" si="27"/>
        <v>0</v>
      </c>
      <c r="R219" s="86">
        <f t="shared" si="28"/>
        <v>0</v>
      </c>
      <c r="S219" s="86">
        <f t="shared" si="29"/>
        <v>0</v>
      </c>
      <c r="T219" s="86">
        <f t="shared" si="31"/>
        <v>0</v>
      </c>
      <c r="U219" s="86">
        <f t="shared" si="30"/>
        <v>0</v>
      </c>
      <c r="V219" s="99">
        <f t="shared" si="32"/>
        <v>0</v>
      </c>
    </row>
    <row r="220" spans="1:22" ht="15" x14ac:dyDescent="0.25">
      <c r="A220" s="98">
        <f t="shared" si="33"/>
        <v>218</v>
      </c>
      <c r="B220" s="86"/>
      <c r="C220" s="86"/>
      <c r="D220" s="86"/>
      <c r="E220" s="86">
        <v>1</v>
      </c>
      <c r="F220" s="96" t="s">
        <v>85</v>
      </c>
      <c r="G220" s="86"/>
      <c r="H220" s="86">
        <v>0</v>
      </c>
      <c r="I220" s="86">
        <v>0</v>
      </c>
      <c r="J220" s="86">
        <v>0</v>
      </c>
      <c r="K220" s="86">
        <v>0</v>
      </c>
      <c r="L220" s="86">
        <v>0</v>
      </c>
      <c r="M220" s="86">
        <f>VLOOKUP(F220,'Прайс Лазер'!$L$3:$M$9,2,0)</f>
        <v>94</v>
      </c>
      <c r="N220" s="86">
        <v>25</v>
      </c>
      <c r="O220" s="95">
        <f>VLOOKUP(E220,'Прайс Лазер'!$I$4:$J$21,2,0)</f>
        <v>1.1499999999999999</v>
      </c>
      <c r="P220" s="86">
        <f>HLOOKUP('Оценка лазера'!$E220,'Прайс Лазер'!$C$26:$T$34,1+VLOOKUP(F220,'Прайс Лазер'!$A$26:$B$34,2,0),0)</f>
        <v>21.849999999999998</v>
      </c>
      <c r="Q220" s="86">
        <f t="shared" si="27"/>
        <v>0</v>
      </c>
      <c r="R220" s="86">
        <f t="shared" si="28"/>
        <v>0</v>
      </c>
      <c r="S220" s="86">
        <f t="shared" si="29"/>
        <v>0</v>
      </c>
      <c r="T220" s="86">
        <f t="shared" si="31"/>
        <v>0</v>
      </c>
      <c r="U220" s="86">
        <f t="shared" si="30"/>
        <v>0</v>
      </c>
      <c r="V220" s="99">
        <f t="shared" si="32"/>
        <v>0</v>
      </c>
    </row>
    <row r="221" spans="1:22" ht="15" x14ac:dyDescent="0.25">
      <c r="A221" s="98">
        <f t="shared" si="33"/>
        <v>219</v>
      </c>
      <c r="B221" s="86"/>
      <c r="C221" s="86"/>
      <c r="D221" s="86"/>
      <c r="E221" s="86">
        <v>1</v>
      </c>
      <c r="F221" s="96" t="s">
        <v>85</v>
      </c>
      <c r="G221" s="86"/>
      <c r="H221" s="86">
        <v>0</v>
      </c>
      <c r="I221" s="86">
        <v>0</v>
      </c>
      <c r="J221" s="86">
        <v>0</v>
      </c>
      <c r="K221" s="86">
        <v>0</v>
      </c>
      <c r="L221" s="86">
        <v>0</v>
      </c>
      <c r="M221" s="86">
        <f>VLOOKUP(F221,'Прайс Лазер'!$L$3:$M$9,2,0)</f>
        <v>94</v>
      </c>
      <c r="N221" s="86">
        <v>25</v>
      </c>
      <c r="O221" s="95">
        <f>VLOOKUP(E221,'Прайс Лазер'!$I$4:$J$21,2,0)</f>
        <v>1.1499999999999999</v>
      </c>
      <c r="P221" s="86">
        <f>HLOOKUP('Оценка лазера'!$E221,'Прайс Лазер'!$C$26:$T$34,1+VLOOKUP(F221,'Прайс Лазер'!$A$26:$B$34,2,0),0)</f>
        <v>21.849999999999998</v>
      </c>
      <c r="Q221" s="86">
        <f t="shared" si="27"/>
        <v>0</v>
      </c>
      <c r="R221" s="86">
        <f t="shared" si="28"/>
        <v>0</v>
      </c>
      <c r="S221" s="86">
        <f t="shared" si="29"/>
        <v>0</v>
      </c>
      <c r="T221" s="86">
        <f t="shared" si="31"/>
        <v>0</v>
      </c>
      <c r="U221" s="86">
        <f t="shared" si="30"/>
        <v>0</v>
      </c>
      <c r="V221" s="99">
        <f t="shared" si="32"/>
        <v>0</v>
      </c>
    </row>
    <row r="222" spans="1:22" ht="15" x14ac:dyDescent="0.25">
      <c r="A222" s="98">
        <f t="shared" si="33"/>
        <v>220</v>
      </c>
      <c r="B222" s="86"/>
      <c r="C222" s="86"/>
      <c r="D222" s="86"/>
      <c r="E222" s="86">
        <v>1</v>
      </c>
      <c r="F222" s="96" t="s">
        <v>85</v>
      </c>
      <c r="G222" s="86"/>
      <c r="H222" s="86">
        <v>0</v>
      </c>
      <c r="I222" s="86">
        <v>0</v>
      </c>
      <c r="J222" s="86">
        <v>0</v>
      </c>
      <c r="K222" s="86">
        <v>0</v>
      </c>
      <c r="L222" s="86">
        <v>0</v>
      </c>
      <c r="M222" s="86">
        <f>VLOOKUP(F222,'Прайс Лазер'!$L$3:$M$9,2,0)</f>
        <v>94</v>
      </c>
      <c r="N222" s="86">
        <v>25</v>
      </c>
      <c r="O222" s="95">
        <f>VLOOKUP(E222,'Прайс Лазер'!$I$4:$J$21,2,0)</f>
        <v>1.1499999999999999</v>
      </c>
      <c r="P222" s="86">
        <f>HLOOKUP('Оценка лазера'!$E222,'Прайс Лазер'!$C$26:$T$34,1+VLOOKUP(F222,'Прайс Лазер'!$A$26:$B$34,2,0),0)</f>
        <v>21.849999999999998</v>
      </c>
      <c r="Q222" s="86">
        <f t="shared" si="27"/>
        <v>0</v>
      </c>
      <c r="R222" s="86">
        <f t="shared" si="28"/>
        <v>0</v>
      </c>
      <c r="S222" s="86">
        <f t="shared" si="29"/>
        <v>0</v>
      </c>
      <c r="T222" s="86">
        <f t="shared" si="31"/>
        <v>0</v>
      </c>
      <c r="U222" s="86">
        <f t="shared" si="30"/>
        <v>0</v>
      </c>
      <c r="V222" s="99">
        <f t="shared" si="32"/>
        <v>0</v>
      </c>
    </row>
    <row r="223" spans="1:22" ht="15" x14ac:dyDescent="0.25">
      <c r="A223" s="98">
        <f t="shared" si="33"/>
        <v>221</v>
      </c>
      <c r="B223" s="86"/>
      <c r="C223" s="86"/>
      <c r="D223" s="86"/>
      <c r="E223" s="86">
        <v>1</v>
      </c>
      <c r="F223" s="96" t="s">
        <v>85</v>
      </c>
      <c r="G223" s="86"/>
      <c r="H223" s="86">
        <v>0</v>
      </c>
      <c r="I223" s="86">
        <v>0</v>
      </c>
      <c r="J223" s="86">
        <v>0</v>
      </c>
      <c r="K223" s="86">
        <v>0</v>
      </c>
      <c r="L223" s="86">
        <v>0</v>
      </c>
      <c r="M223" s="86">
        <f>VLOOKUP(F223,'Прайс Лазер'!$L$3:$M$9,2,0)</f>
        <v>94</v>
      </c>
      <c r="N223" s="86">
        <v>25</v>
      </c>
      <c r="O223" s="95">
        <f>VLOOKUP(E223,'Прайс Лазер'!$I$4:$J$21,2,0)</f>
        <v>1.1499999999999999</v>
      </c>
      <c r="P223" s="86">
        <f>HLOOKUP('Оценка лазера'!$E223,'Прайс Лазер'!$C$26:$T$34,1+VLOOKUP(F223,'Прайс Лазер'!$A$26:$B$34,2,0),0)</f>
        <v>21.849999999999998</v>
      </c>
      <c r="Q223" s="86">
        <f t="shared" si="27"/>
        <v>0</v>
      </c>
      <c r="R223" s="86">
        <f t="shared" si="28"/>
        <v>0</v>
      </c>
      <c r="S223" s="86">
        <f t="shared" si="29"/>
        <v>0</v>
      </c>
      <c r="T223" s="86">
        <f t="shared" si="31"/>
        <v>0</v>
      </c>
      <c r="U223" s="86">
        <f t="shared" si="30"/>
        <v>0</v>
      </c>
      <c r="V223" s="99">
        <f t="shared" si="32"/>
        <v>0</v>
      </c>
    </row>
    <row r="224" spans="1:22" ht="15" x14ac:dyDescent="0.25">
      <c r="A224" s="98">
        <f t="shared" si="33"/>
        <v>222</v>
      </c>
      <c r="B224" s="86"/>
      <c r="C224" s="86"/>
      <c r="D224" s="86"/>
      <c r="E224" s="86">
        <v>1</v>
      </c>
      <c r="F224" s="96" t="s">
        <v>85</v>
      </c>
      <c r="G224" s="86"/>
      <c r="H224" s="86">
        <v>0</v>
      </c>
      <c r="I224" s="86">
        <v>0</v>
      </c>
      <c r="J224" s="86">
        <v>0</v>
      </c>
      <c r="K224" s="86">
        <v>0</v>
      </c>
      <c r="L224" s="86">
        <v>0</v>
      </c>
      <c r="M224" s="86">
        <f>VLOOKUP(F224,'Прайс Лазер'!$L$3:$M$9,2,0)</f>
        <v>94</v>
      </c>
      <c r="N224" s="86">
        <v>25</v>
      </c>
      <c r="O224" s="95">
        <f>VLOOKUP(E224,'Прайс Лазер'!$I$4:$J$21,2,0)</f>
        <v>1.1499999999999999</v>
      </c>
      <c r="P224" s="86">
        <f>HLOOKUP('Оценка лазера'!$E224,'Прайс Лазер'!$C$26:$T$34,1+VLOOKUP(F224,'Прайс Лазер'!$A$26:$B$34,2,0),0)</f>
        <v>21.849999999999998</v>
      </c>
      <c r="Q224" s="86">
        <f t="shared" si="27"/>
        <v>0</v>
      </c>
      <c r="R224" s="86">
        <f t="shared" si="28"/>
        <v>0</v>
      </c>
      <c r="S224" s="86">
        <f t="shared" si="29"/>
        <v>0</v>
      </c>
      <c r="T224" s="86">
        <f t="shared" si="31"/>
        <v>0</v>
      </c>
      <c r="U224" s="86">
        <f t="shared" si="30"/>
        <v>0</v>
      </c>
      <c r="V224" s="99">
        <f t="shared" si="32"/>
        <v>0</v>
      </c>
    </row>
    <row r="225" spans="1:22" ht="15" x14ac:dyDescent="0.25">
      <c r="A225" s="98">
        <f t="shared" si="33"/>
        <v>223</v>
      </c>
      <c r="B225" s="86"/>
      <c r="C225" s="86"/>
      <c r="D225" s="86"/>
      <c r="E225" s="86">
        <v>1</v>
      </c>
      <c r="F225" s="96" t="s">
        <v>85</v>
      </c>
      <c r="G225" s="86"/>
      <c r="H225" s="86">
        <v>0</v>
      </c>
      <c r="I225" s="86">
        <v>0</v>
      </c>
      <c r="J225" s="86">
        <v>0</v>
      </c>
      <c r="K225" s="86">
        <v>0</v>
      </c>
      <c r="L225" s="86">
        <v>0</v>
      </c>
      <c r="M225" s="86">
        <f>VLOOKUP(F225,'Прайс Лазер'!$L$3:$M$9,2,0)</f>
        <v>94</v>
      </c>
      <c r="N225" s="86">
        <v>25</v>
      </c>
      <c r="O225" s="95">
        <f>VLOOKUP(E225,'Прайс Лазер'!$I$4:$J$21,2,0)</f>
        <v>1.1499999999999999</v>
      </c>
      <c r="P225" s="86">
        <f>HLOOKUP('Оценка лазера'!$E225,'Прайс Лазер'!$C$26:$T$34,1+VLOOKUP(F225,'Прайс Лазер'!$A$26:$B$34,2,0),0)</f>
        <v>21.849999999999998</v>
      </c>
      <c r="Q225" s="86">
        <f t="shared" si="27"/>
        <v>0</v>
      </c>
      <c r="R225" s="86">
        <f t="shared" si="28"/>
        <v>0</v>
      </c>
      <c r="S225" s="86">
        <f t="shared" si="29"/>
        <v>0</v>
      </c>
      <c r="T225" s="86">
        <f t="shared" si="31"/>
        <v>0</v>
      </c>
      <c r="U225" s="86">
        <f t="shared" si="30"/>
        <v>0</v>
      </c>
      <c r="V225" s="99">
        <f t="shared" si="32"/>
        <v>0</v>
      </c>
    </row>
    <row r="226" spans="1:22" ht="15" x14ac:dyDescent="0.25">
      <c r="A226" s="98">
        <f t="shared" si="33"/>
        <v>224</v>
      </c>
      <c r="B226" s="86"/>
      <c r="C226" s="86"/>
      <c r="D226" s="86"/>
      <c r="E226" s="86">
        <v>1</v>
      </c>
      <c r="F226" s="96" t="s">
        <v>85</v>
      </c>
      <c r="G226" s="86"/>
      <c r="H226" s="86">
        <v>0</v>
      </c>
      <c r="I226" s="86">
        <v>0</v>
      </c>
      <c r="J226" s="86">
        <v>0</v>
      </c>
      <c r="K226" s="86">
        <v>0</v>
      </c>
      <c r="L226" s="86">
        <v>0</v>
      </c>
      <c r="M226" s="86">
        <f>VLOOKUP(F226,'Прайс Лазер'!$L$3:$M$9,2,0)</f>
        <v>94</v>
      </c>
      <c r="N226" s="86">
        <v>25</v>
      </c>
      <c r="O226" s="95">
        <f>VLOOKUP(E226,'Прайс Лазер'!$I$4:$J$21,2,0)</f>
        <v>1.1499999999999999</v>
      </c>
      <c r="P226" s="86">
        <f>HLOOKUP('Оценка лазера'!$E226,'Прайс Лазер'!$C$26:$T$34,1+VLOOKUP(F226,'Прайс Лазер'!$A$26:$B$34,2,0),0)</f>
        <v>21.849999999999998</v>
      </c>
      <c r="Q226" s="86">
        <f t="shared" si="27"/>
        <v>0</v>
      </c>
      <c r="R226" s="86">
        <f t="shared" si="28"/>
        <v>0</v>
      </c>
      <c r="S226" s="86">
        <f t="shared" si="29"/>
        <v>0</v>
      </c>
      <c r="T226" s="86">
        <f t="shared" si="31"/>
        <v>0</v>
      </c>
      <c r="U226" s="86">
        <f t="shared" si="30"/>
        <v>0</v>
      </c>
      <c r="V226" s="99">
        <f t="shared" si="32"/>
        <v>0</v>
      </c>
    </row>
    <row r="227" spans="1:22" ht="15" x14ac:dyDescent="0.25">
      <c r="A227" s="98">
        <f t="shared" si="33"/>
        <v>225</v>
      </c>
      <c r="B227" s="86"/>
      <c r="C227" s="86"/>
      <c r="D227" s="86"/>
      <c r="E227" s="86">
        <v>1</v>
      </c>
      <c r="F227" s="96" t="s">
        <v>85</v>
      </c>
      <c r="G227" s="86"/>
      <c r="H227" s="86">
        <v>0</v>
      </c>
      <c r="I227" s="86">
        <v>0</v>
      </c>
      <c r="J227" s="86">
        <v>0</v>
      </c>
      <c r="K227" s="86">
        <v>0</v>
      </c>
      <c r="L227" s="86">
        <v>0</v>
      </c>
      <c r="M227" s="86">
        <f>VLOOKUP(F227,'Прайс Лазер'!$L$3:$M$9,2,0)</f>
        <v>94</v>
      </c>
      <c r="N227" s="86">
        <v>25</v>
      </c>
      <c r="O227" s="95">
        <f>VLOOKUP(E227,'Прайс Лазер'!$I$4:$J$21,2,0)</f>
        <v>1.1499999999999999</v>
      </c>
      <c r="P227" s="86">
        <f>HLOOKUP('Оценка лазера'!$E227,'Прайс Лазер'!$C$26:$T$34,1+VLOOKUP(F227,'Прайс Лазер'!$A$26:$B$34,2,0),0)</f>
        <v>21.849999999999998</v>
      </c>
      <c r="Q227" s="86">
        <f t="shared" si="27"/>
        <v>0</v>
      </c>
      <c r="R227" s="86">
        <f t="shared" si="28"/>
        <v>0</v>
      </c>
      <c r="S227" s="86">
        <f t="shared" si="29"/>
        <v>0</v>
      </c>
      <c r="T227" s="86">
        <f t="shared" si="31"/>
        <v>0</v>
      </c>
      <c r="U227" s="86">
        <f t="shared" si="30"/>
        <v>0</v>
      </c>
      <c r="V227" s="99">
        <f t="shared" si="32"/>
        <v>0</v>
      </c>
    </row>
    <row r="228" spans="1:22" ht="15" x14ac:dyDescent="0.25">
      <c r="A228" s="98">
        <f t="shared" si="33"/>
        <v>226</v>
      </c>
      <c r="B228" s="86"/>
      <c r="C228" s="86"/>
      <c r="D228" s="86"/>
      <c r="E228" s="86">
        <v>1</v>
      </c>
      <c r="F228" s="96" t="s">
        <v>85</v>
      </c>
      <c r="G228" s="86"/>
      <c r="H228" s="86">
        <v>0</v>
      </c>
      <c r="I228" s="86">
        <v>0</v>
      </c>
      <c r="J228" s="86">
        <v>0</v>
      </c>
      <c r="K228" s="86">
        <v>0</v>
      </c>
      <c r="L228" s="86">
        <v>0</v>
      </c>
      <c r="M228" s="86">
        <f>VLOOKUP(F228,'Прайс Лазер'!$L$3:$M$9,2,0)</f>
        <v>94</v>
      </c>
      <c r="N228" s="86">
        <v>25</v>
      </c>
      <c r="O228" s="95">
        <f>VLOOKUP(E228,'Прайс Лазер'!$I$4:$J$21,2,0)</f>
        <v>1.1499999999999999</v>
      </c>
      <c r="P228" s="86">
        <f>HLOOKUP('Оценка лазера'!$E228,'Прайс Лазер'!$C$26:$T$34,1+VLOOKUP(F228,'Прайс Лазер'!$A$26:$B$34,2,0),0)</f>
        <v>21.849999999999998</v>
      </c>
      <c r="Q228" s="86">
        <f t="shared" si="27"/>
        <v>0</v>
      </c>
      <c r="R228" s="86">
        <f t="shared" si="28"/>
        <v>0</v>
      </c>
      <c r="S228" s="86">
        <f t="shared" si="29"/>
        <v>0</v>
      </c>
      <c r="T228" s="86">
        <f t="shared" si="31"/>
        <v>0</v>
      </c>
      <c r="U228" s="86">
        <f t="shared" si="30"/>
        <v>0</v>
      </c>
      <c r="V228" s="99">
        <f t="shared" si="32"/>
        <v>0</v>
      </c>
    </row>
    <row r="229" spans="1:22" ht="15" x14ac:dyDescent="0.25">
      <c r="A229" s="98">
        <f t="shared" si="33"/>
        <v>227</v>
      </c>
      <c r="B229" s="86"/>
      <c r="C229" s="86"/>
      <c r="D229" s="86"/>
      <c r="E229" s="86">
        <v>1</v>
      </c>
      <c r="F229" s="96" t="s">
        <v>85</v>
      </c>
      <c r="G229" s="86"/>
      <c r="H229" s="86">
        <v>0</v>
      </c>
      <c r="I229" s="86">
        <v>0</v>
      </c>
      <c r="J229" s="86">
        <v>0</v>
      </c>
      <c r="K229" s="86">
        <v>0</v>
      </c>
      <c r="L229" s="86">
        <v>0</v>
      </c>
      <c r="M229" s="86">
        <f>VLOOKUP(F229,'Прайс Лазер'!$L$3:$M$9,2,0)</f>
        <v>94</v>
      </c>
      <c r="N229" s="86">
        <v>25</v>
      </c>
      <c r="O229" s="95">
        <f>VLOOKUP(E229,'Прайс Лазер'!$I$4:$J$21,2,0)</f>
        <v>1.1499999999999999</v>
      </c>
      <c r="P229" s="86">
        <f>HLOOKUP('Оценка лазера'!$E229,'Прайс Лазер'!$C$26:$T$34,1+VLOOKUP(F229,'Прайс Лазер'!$A$26:$B$34,2,0),0)</f>
        <v>21.849999999999998</v>
      </c>
      <c r="Q229" s="86">
        <f t="shared" si="27"/>
        <v>0</v>
      </c>
      <c r="R229" s="86">
        <f t="shared" si="28"/>
        <v>0</v>
      </c>
      <c r="S229" s="86">
        <f t="shared" si="29"/>
        <v>0</v>
      </c>
      <c r="T229" s="86">
        <f t="shared" si="31"/>
        <v>0</v>
      </c>
      <c r="U229" s="86">
        <f t="shared" si="30"/>
        <v>0</v>
      </c>
      <c r="V229" s="99">
        <f t="shared" si="32"/>
        <v>0</v>
      </c>
    </row>
    <row r="230" spans="1:22" ht="15" x14ac:dyDescent="0.25">
      <c r="A230" s="98">
        <f t="shared" si="33"/>
        <v>228</v>
      </c>
      <c r="B230" s="86"/>
      <c r="C230" s="86"/>
      <c r="D230" s="86"/>
      <c r="E230" s="86">
        <v>1</v>
      </c>
      <c r="F230" s="96" t="s">
        <v>85</v>
      </c>
      <c r="G230" s="86"/>
      <c r="H230" s="86">
        <v>0</v>
      </c>
      <c r="I230" s="86">
        <v>0</v>
      </c>
      <c r="J230" s="86">
        <v>0</v>
      </c>
      <c r="K230" s="86">
        <v>0</v>
      </c>
      <c r="L230" s="86">
        <v>0</v>
      </c>
      <c r="M230" s="86">
        <f>VLOOKUP(F230,'Прайс Лазер'!$L$3:$M$9,2,0)</f>
        <v>94</v>
      </c>
      <c r="N230" s="86">
        <v>25</v>
      </c>
      <c r="O230" s="95">
        <f>VLOOKUP(E230,'Прайс Лазер'!$I$4:$J$21,2,0)</f>
        <v>1.1499999999999999</v>
      </c>
      <c r="P230" s="86">
        <f>HLOOKUP('Оценка лазера'!$E230,'Прайс Лазер'!$C$26:$T$34,1+VLOOKUP(F230,'Прайс Лазер'!$A$26:$B$34,2,0),0)</f>
        <v>21.849999999999998</v>
      </c>
      <c r="Q230" s="86">
        <f t="shared" si="27"/>
        <v>0</v>
      </c>
      <c r="R230" s="86">
        <f t="shared" si="28"/>
        <v>0</v>
      </c>
      <c r="S230" s="86">
        <f t="shared" si="29"/>
        <v>0</v>
      </c>
      <c r="T230" s="86">
        <f t="shared" si="31"/>
        <v>0</v>
      </c>
      <c r="U230" s="86">
        <f t="shared" si="30"/>
        <v>0</v>
      </c>
      <c r="V230" s="99">
        <f t="shared" si="32"/>
        <v>0</v>
      </c>
    </row>
    <row r="231" spans="1:22" ht="15" x14ac:dyDescent="0.25">
      <c r="A231" s="98">
        <f t="shared" si="33"/>
        <v>229</v>
      </c>
      <c r="B231" s="86"/>
      <c r="C231" s="86"/>
      <c r="D231" s="86"/>
      <c r="E231" s="86">
        <v>1</v>
      </c>
      <c r="F231" s="96" t="s">
        <v>85</v>
      </c>
      <c r="G231" s="86"/>
      <c r="H231" s="86">
        <v>0</v>
      </c>
      <c r="I231" s="86">
        <v>0</v>
      </c>
      <c r="J231" s="86">
        <v>0</v>
      </c>
      <c r="K231" s="86">
        <v>0</v>
      </c>
      <c r="L231" s="86">
        <v>0</v>
      </c>
      <c r="M231" s="86">
        <f>VLOOKUP(F231,'Прайс Лазер'!$L$3:$M$9,2,0)</f>
        <v>94</v>
      </c>
      <c r="N231" s="86">
        <v>25</v>
      </c>
      <c r="O231" s="95">
        <f>VLOOKUP(E231,'Прайс Лазер'!$I$4:$J$21,2,0)</f>
        <v>1.1499999999999999</v>
      </c>
      <c r="P231" s="86">
        <f>HLOOKUP('Оценка лазера'!$E231,'Прайс Лазер'!$C$26:$T$34,1+VLOOKUP(F231,'Прайс Лазер'!$A$26:$B$34,2,0),0)</f>
        <v>21.849999999999998</v>
      </c>
      <c r="Q231" s="86">
        <f t="shared" si="27"/>
        <v>0</v>
      </c>
      <c r="R231" s="86">
        <f t="shared" si="28"/>
        <v>0</v>
      </c>
      <c r="S231" s="86">
        <f t="shared" si="29"/>
        <v>0</v>
      </c>
      <c r="T231" s="86">
        <f t="shared" si="31"/>
        <v>0</v>
      </c>
      <c r="U231" s="86">
        <f t="shared" si="30"/>
        <v>0</v>
      </c>
      <c r="V231" s="99">
        <f t="shared" si="32"/>
        <v>0</v>
      </c>
    </row>
    <row r="232" spans="1:22" ht="15" x14ac:dyDescent="0.25">
      <c r="A232" s="98">
        <f t="shared" si="33"/>
        <v>230</v>
      </c>
      <c r="B232" s="86"/>
      <c r="C232" s="86"/>
      <c r="D232" s="86"/>
      <c r="E232" s="86">
        <v>1</v>
      </c>
      <c r="F232" s="96" t="s">
        <v>85</v>
      </c>
      <c r="G232" s="86"/>
      <c r="H232" s="86">
        <v>0</v>
      </c>
      <c r="I232" s="86">
        <v>0</v>
      </c>
      <c r="J232" s="86">
        <v>0</v>
      </c>
      <c r="K232" s="86">
        <v>0</v>
      </c>
      <c r="L232" s="86">
        <v>0</v>
      </c>
      <c r="M232" s="86">
        <f>VLOOKUP(F232,'Прайс Лазер'!$L$3:$M$9,2,0)</f>
        <v>94</v>
      </c>
      <c r="N232" s="86">
        <v>25</v>
      </c>
      <c r="O232" s="95">
        <f>VLOOKUP(E232,'Прайс Лазер'!$I$4:$J$21,2,0)</f>
        <v>1.1499999999999999</v>
      </c>
      <c r="P232" s="86">
        <f>HLOOKUP('Оценка лазера'!$E232,'Прайс Лазер'!$C$26:$T$34,1+VLOOKUP(F232,'Прайс Лазер'!$A$26:$B$34,2,0),0)</f>
        <v>21.849999999999998</v>
      </c>
      <c r="Q232" s="86">
        <f t="shared" si="27"/>
        <v>0</v>
      </c>
      <c r="R232" s="86">
        <f t="shared" si="28"/>
        <v>0</v>
      </c>
      <c r="S232" s="86">
        <f t="shared" si="29"/>
        <v>0</v>
      </c>
      <c r="T232" s="86">
        <f t="shared" si="31"/>
        <v>0</v>
      </c>
      <c r="U232" s="86">
        <f t="shared" si="30"/>
        <v>0</v>
      </c>
      <c r="V232" s="99">
        <f t="shared" si="32"/>
        <v>0</v>
      </c>
    </row>
    <row r="233" spans="1:22" ht="15" x14ac:dyDescent="0.25">
      <c r="A233" s="98">
        <f t="shared" si="33"/>
        <v>231</v>
      </c>
      <c r="B233" s="86"/>
      <c r="C233" s="86"/>
      <c r="D233" s="86"/>
      <c r="E233" s="86">
        <v>1</v>
      </c>
      <c r="F233" s="96" t="s">
        <v>85</v>
      </c>
      <c r="G233" s="86"/>
      <c r="H233" s="86">
        <v>0</v>
      </c>
      <c r="I233" s="86">
        <v>0</v>
      </c>
      <c r="J233" s="86">
        <v>0</v>
      </c>
      <c r="K233" s="86">
        <v>0</v>
      </c>
      <c r="L233" s="86">
        <v>0</v>
      </c>
      <c r="M233" s="86">
        <f>VLOOKUP(F233,'Прайс Лазер'!$L$3:$M$9,2,0)</f>
        <v>94</v>
      </c>
      <c r="N233" s="86">
        <v>25</v>
      </c>
      <c r="O233" s="95">
        <f>VLOOKUP(E233,'Прайс Лазер'!$I$4:$J$21,2,0)</f>
        <v>1.1499999999999999</v>
      </c>
      <c r="P233" s="86">
        <f>HLOOKUP('Оценка лазера'!$E233,'Прайс Лазер'!$C$26:$T$34,1+VLOOKUP(F233,'Прайс Лазер'!$A$26:$B$34,2,0),0)</f>
        <v>21.849999999999998</v>
      </c>
      <c r="Q233" s="86">
        <f t="shared" si="27"/>
        <v>0</v>
      </c>
      <c r="R233" s="86">
        <f t="shared" si="28"/>
        <v>0</v>
      </c>
      <c r="S233" s="86">
        <f t="shared" si="29"/>
        <v>0</v>
      </c>
      <c r="T233" s="86">
        <f t="shared" si="31"/>
        <v>0</v>
      </c>
      <c r="U233" s="86">
        <f t="shared" si="30"/>
        <v>0</v>
      </c>
      <c r="V233" s="99">
        <f t="shared" si="32"/>
        <v>0</v>
      </c>
    </row>
    <row r="234" spans="1:22" ht="15" x14ac:dyDescent="0.25">
      <c r="A234" s="98">
        <f t="shared" si="33"/>
        <v>232</v>
      </c>
      <c r="B234" s="86"/>
      <c r="C234" s="86"/>
      <c r="D234" s="86"/>
      <c r="E234" s="86">
        <v>1</v>
      </c>
      <c r="F234" s="96" t="s">
        <v>85</v>
      </c>
      <c r="G234" s="86"/>
      <c r="H234" s="86">
        <v>0</v>
      </c>
      <c r="I234" s="86">
        <v>0</v>
      </c>
      <c r="J234" s="86">
        <v>0</v>
      </c>
      <c r="K234" s="86">
        <v>0</v>
      </c>
      <c r="L234" s="86">
        <v>0</v>
      </c>
      <c r="M234" s="86">
        <f>VLOOKUP(F234,'Прайс Лазер'!$L$3:$M$9,2,0)</f>
        <v>94</v>
      </c>
      <c r="N234" s="86">
        <v>25</v>
      </c>
      <c r="O234" s="95">
        <f>VLOOKUP(E234,'Прайс Лазер'!$I$4:$J$21,2,0)</f>
        <v>1.1499999999999999</v>
      </c>
      <c r="P234" s="86">
        <f>HLOOKUP('Оценка лазера'!$E234,'Прайс Лазер'!$C$26:$T$34,1+VLOOKUP(F234,'Прайс Лазер'!$A$26:$B$34,2,0),0)</f>
        <v>21.849999999999998</v>
      </c>
      <c r="Q234" s="86">
        <f t="shared" si="27"/>
        <v>0</v>
      </c>
      <c r="R234" s="86">
        <f t="shared" si="28"/>
        <v>0</v>
      </c>
      <c r="S234" s="86">
        <f t="shared" si="29"/>
        <v>0</v>
      </c>
      <c r="T234" s="86">
        <f t="shared" si="31"/>
        <v>0</v>
      </c>
      <c r="U234" s="86">
        <f t="shared" si="30"/>
        <v>0</v>
      </c>
      <c r="V234" s="99">
        <f t="shared" si="32"/>
        <v>0</v>
      </c>
    </row>
    <row r="235" spans="1:22" ht="15" x14ac:dyDescent="0.25">
      <c r="A235" s="98">
        <f t="shared" si="33"/>
        <v>233</v>
      </c>
      <c r="B235" s="86"/>
      <c r="C235" s="86"/>
      <c r="D235" s="86"/>
      <c r="E235" s="86">
        <v>1</v>
      </c>
      <c r="F235" s="96" t="s">
        <v>85</v>
      </c>
      <c r="G235" s="86"/>
      <c r="H235" s="86">
        <v>0</v>
      </c>
      <c r="I235" s="86">
        <v>0</v>
      </c>
      <c r="J235" s="86">
        <v>0</v>
      </c>
      <c r="K235" s="86">
        <v>0</v>
      </c>
      <c r="L235" s="86">
        <v>0</v>
      </c>
      <c r="M235" s="86">
        <f>VLOOKUP(F235,'Прайс Лазер'!$L$3:$M$9,2,0)</f>
        <v>94</v>
      </c>
      <c r="N235" s="86">
        <v>25</v>
      </c>
      <c r="O235" s="95">
        <f>VLOOKUP(E235,'Прайс Лазер'!$I$4:$J$21,2,0)</f>
        <v>1.1499999999999999</v>
      </c>
      <c r="P235" s="86">
        <f>HLOOKUP('Оценка лазера'!$E235,'Прайс Лазер'!$C$26:$T$34,1+VLOOKUP(F235,'Прайс Лазер'!$A$26:$B$34,2,0),0)</f>
        <v>21.849999999999998</v>
      </c>
      <c r="Q235" s="86">
        <f t="shared" si="27"/>
        <v>0</v>
      </c>
      <c r="R235" s="86">
        <f t="shared" si="28"/>
        <v>0</v>
      </c>
      <c r="S235" s="86">
        <f t="shared" si="29"/>
        <v>0</v>
      </c>
      <c r="T235" s="86">
        <f t="shared" si="31"/>
        <v>0</v>
      </c>
      <c r="U235" s="86">
        <f t="shared" si="30"/>
        <v>0</v>
      </c>
      <c r="V235" s="99">
        <f t="shared" si="32"/>
        <v>0</v>
      </c>
    </row>
    <row r="236" spans="1:22" ht="15" x14ac:dyDescent="0.25">
      <c r="A236" s="98">
        <f t="shared" si="33"/>
        <v>234</v>
      </c>
      <c r="B236" s="86"/>
      <c r="C236" s="86"/>
      <c r="D236" s="86"/>
      <c r="E236" s="86">
        <v>1</v>
      </c>
      <c r="F236" s="96" t="s">
        <v>85</v>
      </c>
      <c r="G236" s="86"/>
      <c r="H236" s="86">
        <v>0</v>
      </c>
      <c r="I236" s="86">
        <v>0</v>
      </c>
      <c r="J236" s="86">
        <v>0</v>
      </c>
      <c r="K236" s="86">
        <v>0</v>
      </c>
      <c r="L236" s="86">
        <v>0</v>
      </c>
      <c r="M236" s="86">
        <f>VLOOKUP(F236,'Прайс Лазер'!$L$3:$M$9,2,0)</f>
        <v>94</v>
      </c>
      <c r="N236" s="86">
        <v>25</v>
      </c>
      <c r="O236" s="95">
        <f>VLOOKUP(E236,'Прайс Лазер'!$I$4:$J$21,2,0)</f>
        <v>1.1499999999999999</v>
      </c>
      <c r="P236" s="86">
        <f>HLOOKUP('Оценка лазера'!$E236,'Прайс Лазер'!$C$26:$T$34,1+VLOOKUP(F236,'Прайс Лазер'!$A$26:$B$34,2,0),0)</f>
        <v>21.849999999999998</v>
      </c>
      <c r="Q236" s="86">
        <f t="shared" si="27"/>
        <v>0</v>
      </c>
      <c r="R236" s="86">
        <f t="shared" si="28"/>
        <v>0</v>
      </c>
      <c r="S236" s="86">
        <f t="shared" si="29"/>
        <v>0</v>
      </c>
      <c r="T236" s="86">
        <f t="shared" si="31"/>
        <v>0</v>
      </c>
      <c r="U236" s="86">
        <f t="shared" si="30"/>
        <v>0</v>
      </c>
      <c r="V236" s="99">
        <f t="shared" si="32"/>
        <v>0</v>
      </c>
    </row>
    <row r="237" spans="1:22" ht="15" x14ac:dyDescent="0.25">
      <c r="A237" s="98">
        <f t="shared" si="33"/>
        <v>235</v>
      </c>
      <c r="B237" s="86"/>
      <c r="C237" s="86"/>
      <c r="D237" s="86"/>
      <c r="E237" s="86">
        <v>1</v>
      </c>
      <c r="F237" s="96" t="s">
        <v>85</v>
      </c>
      <c r="G237" s="86"/>
      <c r="H237" s="86">
        <v>0</v>
      </c>
      <c r="I237" s="86">
        <v>0</v>
      </c>
      <c r="J237" s="86">
        <v>0</v>
      </c>
      <c r="K237" s="86">
        <v>0</v>
      </c>
      <c r="L237" s="86">
        <v>0</v>
      </c>
      <c r="M237" s="86">
        <f>VLOOKUP(F237,'Прайс Лазер'!$L$3:$M$9,2,0)</f>
        <v>94</v>
      </c>
      <c r="N237" s="86">
        <v>25</v>
      </c>
      <c r="O237" s="95">
        <f>VLOOKUP(E237,'Прайс Лазер'!$I$4:$J$21,2,0)</f>
        <v>1.1499999999999999</v>
      </c>
      <c r="P237" s="86">
        <f>HLOOKUP('Оценка лазера'!$E237,'Прайс Лазер'!$C$26:$T$34,1+VLOOKUP(F237,'Прайс Лазер'!$A$26:$B$34,2,0),0)</f>
        <v>21.849999999999998</v>
      </c>
      <c r="Q237" s="86">
        <f t="shared" si="27"/>
        <v>0</v>
      </c>
      <c r="R237" s="86">
        <f t="shared" si="28"/>
        <v>0</v>
      </c>
      <c r="S237" s="86">
        <f t="shared" si="29"/>
        <v>0</v>
      </c>
      <c r="T237" s="86">
        <f t="shared" si="31"/>
        <v>0</v>
      </c>
      <c r="U237" s="86">
        <f t="shared" si="30"/>
        <v>0</v>
      </c>
      <c r="V237" s="99">
        <f t="shared" si="32"/>
        <v>0</v>
      </c>
    </row>
    <row r="238" spans="1:22" ht="15" x14ac:dyDescent="0.25">
      <c r="A238" s="217" t="s">
        <v>70</v>
      </c>
      <c r="B238" s="215"/>
      <c r="C238" s="215"/>
      <c r="D238" s="215"/>
      <c r="E238" s="215"/>
      <c r="F238" s="215"/>
      <c r="G238" s="215"/>
      <c r="H238" s="215"/>
      <c r="I238" s="215"/>
      <c r="J238" s="215"/>
      <c r="K238" s="215"/>
      <c r="L238" s="215"/>
      <c r="M238" s="215"/>
      <c r="N238" s="215"/>
      <c r="O238" s="216"/>
      <c r="P238" s="215"/>
      <c r="Q238" s="215"/>
      <c r="R238" s="215"/>
      <c r="S238" s="215"/>
      <c r="T238" s="215"/>
      <c r="U238" s="215"/>
      <c r="V238" s="218">
        <f>SUM(V3:V237)</f>
        <v>1988.185428125</v>
      </c>
    </row>
  </sheetData>
  <mergeCells count="2">
    <mergeCell ref="A1:C1"/>
    <mergeCell ref="D1:E1"/>
  </mergeCell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'Прайс Лазер'!$A$27:$A$34</xm:f>
          </x14:formula1>
          <xm:sqref>F3:F237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
  <sheetViews>
    <sheetView workbookViewId="0">
      <pane xSplit="4" ySplit="1" topLeftCell="E2" activePane="bottomRight" state="frozen"/>
      <selection pane="topRight" activeCell="E1" sqref="E1"/>
      <selection pane="bottomLeft" activeCell="A2" sqref="A2"/>
      <selection pane="bottomRight" activeCell="N12" sqref="N12"/>
    </sheetView>
  </sheetViews>
  <sheetFormatPr defaultRowHeight="11.25" x14ac:dyDescent="0.2"/>
  <cols>
    <col min="1" max="1" width="9.33203125" customWidth="1"/>
    <col min="2" max="2" width="21.33203125" customWidth="1"/>
    <col min="3" max="3" width="23.5" customWidth="1"/>
    <col min="5" max="5" width="20.83203125" customWidth="1"/>
    <col min="6" max="6" width="12.1640625" customWidth="1"/>
    <col min="7" max="8" width="20.6640625" customWidth="1"/>
    <col min="9" max="9" width="19.33203125" customWidth="1"/>
    <col min="10" max="10" width="19.83203125" customWidth="1"/>
    <col min="11" max="11" width="21.6640625" customWidth="1"/>
    <col min="12" max="12" width="25" customWidth="1"/>
    <col min="13" max="13" width="26.5" customWidth="1"/>
    <col min="14" max="14" width="29.83203125" customWidth="1"/>
  </cols>
  <sheetData>
    <row r="1" spans="1:14" ht="75" customHeight="1" x14ac:dyDescent="0.2">
      <c r="A1" s="105" t="s">
        <v>29</v>
      </c>
      <c r="B1" s="106" t="s">
        <v>30</v>
      </c>
      <c r="C1" s="106" t="s">
        <v>2</v>
      </c>
      <c r="D1" s="106" t="s">
        <v>31</v>
      </c>
      <c r="E1" s="106" t="s">
        <v>96</v>
      </c>
      <c r="F1" s="106" t="s">
        <v>255</v>
      </c>
      <c r="G1" s="106" t="s">
        <v>32</v>
      </c>
      <c r="H1" s="106" t="s">
        <v>74</v>
      </c>
      <c r="I1" s="106" t="s">
        <v>33</v>
      </c>
      <c r="J1" s="106" t="s">
        <v>94</v>
      </c>
      <c r="K1" s="106" t="s">
        <v>95</v>
      </c>
      <c r="L1" s="106" t="s">
        <v>110</v>
      </c>
      <c r="M1" s="106" t="s">
        <v>109</v>
      </c>
      <c r="N1" s="107" t="s">
        <v>108</v>
      </c>
    </row>
    <row r="2" spans="1:14" ht="15" x14ac:dyDescent="0.2">
      <c r="A2" s="103">
        <v>1</v>
      </c>
      <c r="B2" s="26"/>
      <c r="C2" s="26"/>
      <c r="D2" s="26"/>
      <c r="E2" s="26"/>
      <c r="F2" s="26">
        <f>CEILING(Таблица2[[#This Row],[Толщина, мм]]/5,1)</f>
        <v>0</v>
      </c>
      <c r="G2" s="26"/>
      <c r="H2" s="26"/>
      <c r="I2" s="26"/>
      <c r="J2" s="26"/>
      <c r="K2" s="26"/>
      <c r="L2" s="26">
        <f>D2*H2</f>
        <v>0</v>
      </c>
      <c r="M2" s="26">
        <f t="shared" ref="M2:M51" si="0">((H2*99)/1.2)*D2</f>
        <v>0</v>
      </c>
      <c r="N2" s="104">
        <f>(((J2+K2)/1000*1.1*30*Таблица2[[#This Row],[Кол.проходов]])/1.2)*D2</f>
        <v>0</v>
      </c>
    </row>
    <row r="3" spans="1:14" ht="15" x14ac:dyDescent="0.2">
      <c r="A3" s="103">
        <v>2</v>
      </c>
      <c r="B3" s="26"/>
      <c r="C3" s="26"/>
      <c r="D3" s="26"/>
      <c r="E3" s="26"/>
      <c r="F3" s="26">
        <f>CEILING(Таблица2[[#This Row],[Толщина, мм]]/5,1)</f>
        <v>0</v>
      </c>
      <c r="G3" s="26"/>
      <c r="H3" s="26"/>
      <c r="I3" s="26"/>
      <c r="J3" s="26"/>
      <c r="K3" s="26"/>
      <c r="L3" s="26">
        <f t="shared" ref="L3:L33" si="1">D3*H3</f>
        <v>0</v>
      </c>
      <c r="M3" s="26">
        <f t="shared" si="0"/>
        <v>0</v>
      </c>
      <c r="N3" s="104">
        <f>(((J3+K3)/1000*1.1*30*Таблица2[[#This Row],[Кол.проходов]])/1.2)*D3</f>
        <v>0</v>
      </c>
    </row>
    <row r="4" spans="1:14" ht="15" x14ac:dyDescent="0.2">
      <c r="A4" s="103">
        <v>4</v>
      </c>
      <c r="B4" s="26"/>
      <c r="C4" s="26"/>
      <c r="D4" s="26"/>
      <c r="E4" s="26"/>
      <c r="F4" s="26">
        <f>CEILING(Таблица2[[#This Row],[Толщина, мм]]/5,1)</f>
        <v>0</v>
      </c>
      <c r="G4" s="26"/>
      <c r="H4" s="26"/>
      <c r="I4" s="26"/>
      <c r="J4" s="26"/>
      <c r="K4" s="26"/>
      <c r="L4" s="26">
        <f t="shared" si="1"/>
        <v>0</v>
      </c>
      <c r="M4" s="26">
        <f t="shared" si="0"/>
        <v>0</v>
      </c>
      <c r="N4" s="104">
        <f>(((J4+K4)/1000*1.1*30*Таблица2[[#This Row],[Кол.проходов]])/1.2)*D4</f>
        <v>0</v>
      </c>
    </row>
    <row r="5" spans="1:14" ht="15" x14ac:dyDescent="0.2">
      <c r="A5" s="103">
        <v>6</v>
      </c>
      <c r="B5" s="26"/>
      <c r="C5" s="26"/>
      <c r="D5" s="26"/>
      <c r="E5" s="26"/>
      <c r="F5" s="26">
        <f>CEILING(Таблица2[[#This Row],[Толщина, мм]]/5,1)</f>
        <v>0</v>
      </c>
      <c r="G5" s="26"/>
      <c r="H5" s="26"/>
      <c r="I5" s="26"/>
      <c r="J5" s="26"/>
      <c r="K5" s="26"/>
      <c r="L5" s="26">
        <f t="shared" si="1"/>
        <v>0</v>
      </c>
      <c r="M5" s="26">
        <f t="shared" si="0"/>
        <v>0</v>
      </c>
      <c r="N5" s="104">
        <f>(((J5+K5)/1000*1.1*30*Таблица2[[#This Row],[Кол.проходов]])/1.2)*D5</f>
        <v>0</v>
      </c>
    </row>
    <row r="6" spans="1:14" ht="15" x14ac:dyDescent="0.2">
      <c r="A6" s="103">
        <v>7</v>
      </c>
      <c r="B6" s="26"/>
      <c r="C6" s="26"/>
      <c r="D6" s="26"/>
      <c r="E6" s="26"/>
      <c r="F6" s="26">
        <f>CEILING(Таблица2[[#This Row],[Толщина, мм]]/5,1)</f>
        <v>0</v>
      </c>
      <c r="G6" s="26"/>
      <c r="H6" s="26"/>
      <c r="I6" s="26"/>
      <c r="J6" s="26"/>
      <c r="K6" s="26"/>
      <c r="L6" s="26">
        <f t="shared" si="1"/>
        <v>0</v>
      </c>
      <c r="M6" s="26">
        <f t="shared" si="0"/>
        <v>0</v>
      </c>
      <c r="N6" s="104">
        <f>(((J6+K6)/1000*1.1*30*Таблица2[[#This Row],[Кол.проходов]])/1.2)*D6</f>
        <v>0</v>
      </c>
    </row>
    <row r="7" spans="1:14" ht="15" x14ac:dyDescent="0.2">
      <c r="A7" s="103">
        <v>8</v>
      </c>
      <c r="B7" s="13"/>
      <c r="C7" s="13"/>
      <c r="D7" s="13"/>
      <c r="E7" s="13"/>
      <c r="F7" s="26">
        <f>CEILING(Таблица2[[#This Row],[Толщина, мм]]/5,1)</f>
        <v>0</v>
      </c>
      <c r="G7" s="13"/>
      <c r="H7" s="13"/>
      <c r="I7" s="13"/>
      <c r="J7" s="13"/>
      <c r="K7" s="13"/>
      <c r="L7" s="26">
        <f t="shared" si="1"/>
        <v>0</v>
      </c>
      <c r="M7" s="26">
        <f t="shared" si="0"/>
        <v>0</v>
      </c>
      <c r="N7" s="104">
        <f>(((J7+K7)/1000*1.1*30*Таблица2[[#This Row],[Кол.проходов]])/1.2)*D7</f>
        <v>0</v>
      </c>
    </row>
    <row r="8" spans="1:14" ht="15" x14ac:dyDescent="0.2">
      <c r="A8" s="103">
        <v>9</v>
      </c>
      <c r="B8" s="13"/>
      <c r="C8" s="13"/>
      <c r="D8" s="13"/>
      <c r="E8" s="13"/>
      <c r="F8" s="26">
        <f>CEILING(Таблица2[[#This Row],[Толщина, мм]]/5,1)</f>
        <v>0</v>
      </c>
      <c r="G8" s="13"/>
      <c r="H8" s="13"/>
      <c r="I8" s="13"/>
      <c r="J8" s="13"/>
      <c r="K8" s="13"/>
      <c r="L8" s="26">
        <f t="shared" si="1"/>
        <v>0</v>
      </c>
      <c r="M8" s="26">
        <f t="shared" si="0"/>
        <v>0</v>
      </c>
      <c r="N8" s="104">
        <f>(((J8+K8)/1000*1.1*30*Таблица2[[#This Row],[Кол.проходов]])/1.2)*D8</f>
        <v>0</v>
      </c>
    </row>
    <row r="9" spans="1:14" ht="15" x14ac:dyDescent="0.2">
      <c r="A9" s="103">
        <v>10</v>
      </c>
      <c r="B9" s="13"/>
      <c r="C9" s="13"/>
      <c r="D9" s="13"/>
      <c r="E9" s="13"/>
      <c r="F9" s="26">
        <f>CEILING(Таблица2[[#This Row],[Толщина, мм]]/5,1)</f>
        <v>0</v>
      </c>
      <c r="G9" s="13"/>
      <c r="H9" s="13"/>
      <c r="I9" s="13"/>
      <c r="J9" s="13"/>
      <c r="K9" s="13"/>
      <c r="L9" s="26">
        <f t="shared" si="1"/>
        <v>0</v>
      </c>
      <c r="M9" s="26">
        <f t="shared" si="0"/>
        <v>0</v>
      </c>
      <c r="N9" s="104">
        <f>(((J9+K9)/1000*1.1*30*Таблица2[[#This Row],[Кол.проходов]])/1.2)*D9</f>
        <v>0</v>
      </c>
    </row>
    <row r="10" spans="1:14" ht="15" x14ac:dyDescent="0.2">
      <c r="A10" s="103">
        <v>11</v>
      </c>
      <c r="B10" s="13"/>
      <c r="C10" s="13"/>
      <c r="D10" s="13"/>
      <c r="E10" s="13"/>
      <c r="F10" s="26">
        <f>CEILING(Таблица2[[#This Row],[Толщина, мм]]/5,1)</f>
        <v>0</v>
      </c>
      <c r="G10" s="13"/>
      <c r="H10" s="13"/>
      <c r="I10" s="13"/>
      <c r="J10" s="13"/>
      <c r="K10" s="13"/>
      <c r="L10" s="26">
        <f t="shared" si="1"/>
        <v>0</v>
      </c>
      <c r="M10" s="26">
        <f t="shared" si="0"/>
        <v>0</v>
      </c>
      <c r="N10" s="104">
        <f>(((J10+K10)/1000*1.1*30*Таблица2[[#This Row],[Кол.проходов]])/1.2)*D10</f>
        <v>0</v>
      </c>
    </row>
    <row r="11" spans="1:14" ht="15" x14ac:dyDescent="0.2">
      <c r="A11" s="103">
        <v>12</v>
      </c>
      <c r="B11" s="13"/>
      <c r="C11" s="13"/>
      <c r="D11" s="13"/>
      <c r="E11" s="13"/>
      <c r="F11" s="26">
        <f>CEILING(Таблица2[[#This Row],[Толщина, мм]]/5,1)</f>
        <v>0</v>
      </c>
      <c r="G11" s="13"/>
      <c r="H11" s="13"/>
      <c r="I11" s="13"/>
      <c r="J11" s="13"/>
      <c r="K11" s="13"/>
      <c r="L11" s="26">
        <f t="shared" si="1"/>
        <v>0</v>
      </c>
      <c r="M11" s="26">
        <f t="shared" si="0"/>
        <v>0</v>
      </c>
      <c r="N11" s="104">
        <f>(((J11+K11)/1000*1.1*30*Таблица2[[#This Row],[Кол.проходов]])/1.2)*D11</f>
        <v>0</v>
      </c>
    </row>
    <row r="12" spans="1:14" ht="15" x14ac:dyDescent="0.2">
      <c r="A12" s="103">
        <v>13</v>
      </c>
      <c r="B12" s="13"/>
      <c r="C12" s="13"/>
      <c r="D12" s="13"/>
      <c r="E12" s="13"/>
      <c r="F12" s="26">
        <f>CEILING(Таблица2[[#This Row],[Толщина, мм]]/5,1)</f>
        <v>0</v>
      </c>
      <c r="G12" s="13"/>
      <c r="H12" s="13"/>
      <c r="I12" s="13"/>
      <c r="J12" s="13"/>
      <c r="K12" s="13"/>
      <c r="L12" s="26">
        <f t="shared" si="1"/>
        <v>0</v>
      </c>
      <c r="M12" s="26">
        <f t="shared" si="0"/>
        <v>0</v>
      </c>
      <c r="N12" s="104">
        <f>(((J12+K12)/1000*1.1*30*Таблица2[[#This Row],[Кол.проходов]])/1.2)*D12</f>
        <v>0</v>
      </c>
    </row>
    <row r="13" spans="1:14" ht="15" x14ac:dyDescent="0.2">
      <c r="A13" s="103">
        <v>14</v>
      </c>
      <c r="B13" s="13"/>
      <c r="C13" s="13"/>
      <c r="D13" s="13"/>
      <c r="E13" s="13"/>
      <c r="F13" s="26">
        <f>CEILING(Таблица2[[#This Row],[Толщина, мм]]/5,1)</f>
        <v>0</v>
      </c>
      <c r="G13" s="13"/>
      <c r="H13" s="13"/>
      <c r="I13" s="13"/>
      <c r="J13" s="13"/>
      <c r="K13" s="13"/>
      <c r="L13" s="26">
        <f t="shared" si="1"/>
        <v>0</v>
      </c>
      <c r="M13" s="26">
        <f t="shared" si="0"/>
        <v>0</v>
      </c>
      <c r="N13" s="104">
        <f>(((J13+K13)/1000*1.1*30*Таблица2[[#This Row],[Кол.проходов]])/1.2)*D13</f>
        <v>0</v>
      </c>
    </row>
    <row r="14" spans="1:14" ht="15" x14ac:dyDescent="0.2">
      <c r="A14" s="103">
        <v>15</v>
      </c>
      <c r="B14" s="13"/>
      <c r="C14" s="13"/>
      <c r="D14" s="13"/>
      <c r="E14" s="13"/>
      <c r="F14" s="26">
        <f>CEILING(Таблица2[[#This Row],[Толщина, мм]]/5,1)</f>
        <v>0</v>
      </c>
      <c r="G14" s="13"/>
      <c r="H14" s="13"/>
      <c r="I14" s="13"/>
      <c r="J14" s="13"/>
      <c r="K14" s="13"/>
      <c r="L14" s="26">
        <f t="shared" si="1"/>
        <v>0</v>
      </c>
      <c r="M14" s="26">
        <f t="shared" si="0"/>
        <v>0</v>
      </c>
      <c r="N14" s="104">
        <f>(((J14+K14)/1000*1.1*30*Таблица2[[#This Row],[Кол.проходов]])/1.2)*D14</f>
        <v>0</v>
      </c>
    </row>
    <row r="15" spans="1:14" ht="15" x14ac:dyDescent="0.2">
      <c r="A15" s="103">
        <v>16</v>
      </c>
      <c r="B15" s="13"/>
      <c r="C15" s="13"/>
      <c r="D15" s="13"/>
      <c r="E15" s="13"/>
      <c r="F15" s="26">
        <f>CEILING(Таблица2[[#This Row],[Толщина, мм]]/5,1)</f>
        <v>0</v>
      </c>
      <c r="G15" s="13"/>
      <c r="H15" s="13"/>
      <c r="I15" s="13"/>
      <c r="J15" s="13"/>
      <c r="K15" s="13"/>
      <c r="L15" s="26">
        <f t="shared" si="1"/>
        <v>0</v>
      </c>
      <c r="M15" s="26">
        <f t="shared" si="0"/>
        <v>0</v>
      </c>
      <c r="N15" s="104">
        <f>(((J15+K15)/1000*1.1*30*Таблица2[[#This Row],[Кол.проходов]])/1.2)*D15</f>
        <v>0</v>
      </c>
    </row>
    <row r="16" spans="1:14" ht="15" x14ac:dyDescent="0.2">
      <c r="A16" s="103">
        <v>17</v>
      </c>
      <c r="B16" s="13"/>
      <c r="C16" s="13"/>
      <c r="D16" s="13"/>
      <c r="E16" s="13"/>
      <c r="F16" s="26">
        <f>CEILING(Таблица2[[#This Row],[Толщина, мм]]/5,1)</f>
        <v>0</v>
      </c>
      <c r="G16" s="13"/>
      <c r="H16" s="13"/>
      <c r="I16" s="13"/>
      <c r="J16" s="13"/>
      <c r="K16" s="13"/>
      <c r="L16" s="26">
        <f t="shared" si="1"/>
        <v>0</v>
      </c>
      <c r="M16" s="26">
        <f t="shared" si="0"/>
        <v>0</v>
      </c>
      <c r="N16" s="104">
        <f>(((J16+K16)/1000*1.1*30*Таблица2[[#This Row],[Кол.проходов]])/1.2)*D16</f>
        <v>0</v>
      </c>
    </row>
    <row r="17" spans="1:14" ht="15" x14ac:dyDescent="0.2">
      <c r="A17" s="103">
        <v>18</v>
      </c>
      <c r="B17" s="13"/>
      <c r="C17" s="13"/>
      <c r="D17" s="13"/>
      <c r="E17" s="13"/>
      <c r="F17" s="26">
        <f>CEILING(Таблица2[[#This Row],[Толщина, мм]]/5,1)</f>
        <v>0</v>
      </c>
      <c r="G17" s="13"/>
      <c r="H17" s="13"/>
      <c r="I17" s="13"/>
      <c r="J17" s="13"/>
      <c r="K17" s="13"/>
      <c r="L17" s="26">
        <f t="shared" si="1"/>
        <v>0</v>
      </c>
      <c r="M17" s="26">
        <f t="shared" si="0"/>
        <v>0</v>
      </c>
      <c r="N17" s="104">
        <f>(((J17+K17)/1000*1.1*30*Таблица2[[#This Row],[Кол.проходов]])/1.2)*D17</f>
        <v>0</v>
      </c>
    </row>
    <row r="18" spans="1:14" ht="15" x14ac:dyDescent="0.2">
      <c r="A18" s="103">
        <v>19</v>
      </c>
      <c r="B18" s="13"/>
      <c r="C18" s="13"/>
      <c r="D18" s="13"/>
      <c r="E18" s="13"/>
      <c r="F18" s="26">
        <f>CEILING(Таблица2[[#This Row],[Толщина, мм]]/5,1)</f>
        <v>0</v>
      </c>
      <c r="G18" s="13"/>
      <c r="H18" s="13"/>
      <c r="I18" s="13"/>
      <c r="J18" s="13"/>
      <c r="K18" s="13"/>
      <c r="L18" s="26">
        <f t="shared" si="1"/>
        <v>0</v>
      </c>
      <c r="M18" s="26">
        <f t="shared" si="0"/>
        <v>0</v>
      </c>
      <c r="N18" s="104">
        <f>(((J18+K18)/1000*1.1*30*Таблица2[[#This Row],[Кол.проходов]])/1.2)*D18</f>
        <v>0</v>
      </c>
    </row>
    <row r="19" spans="1:14" ht="15" x14ac:dyDescent="0.2">
      <c r="A19" s="103">
        <v>20</v>
      </c>
      <c r="B19" s="13"/>
      <c r="C19" s="13"/>
      <c r="D19" s="13"/>
      <c r="E19" s="13"/>
      <c r="F19" s="26">
        <f>CEILING(Таблица2[[#This Row],[Толщина, мм]]/5,1)</f>
        <v>0</v>
      </c>
      <c r="G19" s="13"/>
      <c r="H19" s="13"/>
      <c r="I19" s="13"/>
      <c r="J19" s="13"/>
      <c r="K19" s="13"/>
      <c r="L19" s="26">
        <f t="shared" si="1"/>
        <v>0</v>
      </c>
      <c r="M19" s="26">
        <f t="shared" si="0"/>
        <v>0</v>
      </c>
      <c r="N19" s="104">
        <f>(((J19+K19)/1000*1.1*30*Таблица2[[#This Row],[Кол.проходов]])/1.2)*D19</f>
        <v>0</v>
      </c>
    </row>
    <row r="20" spans="1:14" ht="15" x14ac:dyDescent="0.2">
      <c r="A20" s="103">
        <v>21</v>
      </c>
      <c r="B20" s="13"/>
      <c r="C20" s="13"/>
      <c r="D20" s="13"/>
      <c r="E20" s="13"/>
      <c r="F20" s="26">
        <f>CEILING(Таблица2[[#This Row],[Толщина, мм]]/5,1)</f>
        <v>0</v>
      </c>
      <c r="G20" s="13"/>
      <c r="H20" s="13"/>
      <c r="I20" s="13"/>
      <c r="J20" s="13"/>
      <c r="K20" s="13"/>
      <c r="L20" s="26">
        <f t="shared" si="1"/>
        <v>0</v>
      </c>
      <c r="M20" s="26">
        <f t="shared" si="0"/>
        <v>0</v>
      </c>
      <c r="N20" s="104">
        <f>(((J20+K20)/1000*1.1*30*Таблица2[[#This Row],[Кол.проходов]])/1.2)*D20</f>
        <v>0</v>
      </c>
    </row>
    <row r="21" spans="1:14" ht="15" x14ac:dyDescent="0.2">
      <c r="A21" s="103">
        <v>22</v>
      </c>
      <c r="B21" s="13"/>
      <c r="C21" s="13"/>
      <c r="D21" s="13"/>
      <c r="E21" s="13"/>
      <c r="F21" s="26">
        <f>CEILING(Таблица2[[#This Row],[Толщина, мм]]/5,1)</f>
        <v>0</v>
      </c>
      <c r="G21" s="13"/>
      <c r="H21" s="13"/>
      <c r="I21" s="13"/>
      <c r="J21" s="13"/>
      <c r="K21" s="13"/>
      <c r="L21" s="26">
        <f t="shared" si="1"/>
        <v>0</v>
      </c>
      <c r="M21" s="26">
        <f t="shared" si="0"/>
        <v>0</v>
      </c>
      <c r="N21" s="104">
        <f>(((J21+K21)/1000*1.1*30*Таблица2[[#This Row],[Кол.проходов]])/1.2)*D21</f>
        <v>0</v>
      </c>
    </row>
    <row r="22" spans="1:14" ht="15" x14ac:dyDescent="0.2">
      <c r="A22" s="103">
        <v>23</v>
      </c>
      <c r="B22" s="13"/>
      <c r="C22" s="13"/>
      <c r="D22" s="13"/>
      <c r="E22" s="13"/>
      <c r="F22" s="26">
        <f>CEILING(Таблица2[[#This Row],[Толщина, мм]]/5,1)</f>
        <v>0</v>
      </c>
      <c r="G22" s="13"/>
      <c r="H22" s="13"/>
      <c r="I22" s="13"/>
      <c r="J22" s="13"/>
      <c r="K22" s="13"/>
      <c r="L22" s="26">
        <f t="shared" si="1"/>
        <v>0</v>
      </c>
      <c r="M22" s="26">
        <f t="shared" si="0"/>
        <v>0</v>
      </c>
      <c r="N22" s="104">
        <f>(((J22+K22)/1000*1.1*30*Таблица2[[#This Row],[Кол.проходов]])/1.2)*D22</f>
        <v>0</v>
      </c>
    </row>
    <row r="23" spans="1:14" ht="15" x14ac:dyDescent="0.2">
      <c r="A23" s="103">
        <v>24</v>
      </c>
      <c r="B23" s="13"/>
      <c r="C23" s="13"/>
      <c r="D23" s="13"/>
      <c r="E23" s="13"/>
      <c r="F23" s="26">
        <f>CEILING(Таблица2[[#This Row],[Толщина, мм]]/5,1)</f>
        <v>0</v>
      </c>
      <c r="G23" s="13"/>
      <c r="H23" s="13"/>
      <c r="I23" s="13"/>
      <c r="J23" s="13"/>
      <c r="K23" s="13"/>
      <c r="L23" s="26">
        <f t="shared" si="1"/>
        <v>0</v>
      </c>
      <c r="M23" s="26">
        <f t="shared" si="0"/>
        <v>0</v>
      </c>
      <c r="N23" s="104">
        <f>(((J23+K23)/1000*1.1*30*Таблица2[[#This Row],[Кол.проходов]])/1.2)*D23</f>
        <v>0</v>
      </c>
    </row>
    <row r="24" spans="1:14" ht="15" x14ac:dyDescent="0.2">
      <c r="A24" s="103">
        <v>25</v>
      </c>
      <c r="B24" s="13"/>
      <c r="C24" s="13"/>
      <c r="D24" s="13"/>
      <c r="E24" s="13"/>
      <c r="F24" s="26">
        <f>CEILING(Таблица2[[#This Row],[Толщина, мм]]/5,1)</f>
        <v>0</v>
      </c>
      <c r="G24" s="13"/>
      <c r="H24" s="13"/>
      <c r="I24" s="13"/>
      <c r="J24" s="13"/>
      <c r="K24" s="13"/>
      <c r="L24" s="26">
        <f t="shared" si="1"/>
        <v>0</v>
      </c>
      <c r="M24" s="26">
        <f t="shared" si="0"/>
        <v>0</v>
      </c>
      <c r="N24" s="104">
        <f>(((J24+K24)/1000*1.1*30*Таблица2[[#This Row],[Кол.проходов]])/1.2)*D24</f>
        <v>0</v>
      </c>
    </row>
    <row r="25" spans="1:14" ht="15" x14ac:dyDescent="0.2">
      <c r="A25" s="103">
        <v>26</v>
      </c>
      <c r="B25" s="13"/>
      <c r="C25" s="13"/>
      <c r="D25" s="13"/>
      <c r="E25" s="13"/>
      <c r="F25" s="26">
        <f>CEILING(Таблица2[[#This Row],[Толщина, мм]]/5,1)</f>
        <v>0</v>
      </c>
      <c r="G25" s="13"/>
      <c r="H25" s="13"/>
      <c r="I25" s="13"/>
      <c r="J25" s="13"/>
      <c r="K25" s="13"/>
      <c r="L25" s="26">
        <f t="shared" si="1"/>
        <v>0</v>
      </c>
      <c r="M25" s="26">
        <f t="shared" si="0"/>
        <v>0</v>
      </c>
      <c r="N25" s="104">
        <f>(((J25+K25)/1000*1.1*30*Таблица2[[#This Row],[Кол.проходов]])/1.2)*D25</f>
        <v>0</v>
      </c>
    </row>
    <row r="26" spans="1:14" ht="15" x14ac:dyDescent="0.2">
      <c r="A26" s="103">
        <v>27</v>
      </c>
      <c r="B26" s="13"/>
      <c r="C26" s="13"/>
      <c r="D26" s="13"/>
      <c r="E26" s="13"/>
      <c r="F26" s="26">
        <f>CEILING(Таблица2[[#This Row],[Толщина, мм]]/5,1)</f>
        <v>0</v>
      </c>
      <c r="G26" s="13"/>
      <c r="H26" s="13"/>
      <c r="I26" s="13"/>
      <c r="J26" s="13"/>
      <c r="K26" s="13"/>
      <c r="L26" s="26">
        <f t="shared" si="1"/>
        <v>0</v>
      </c>
      <c r="M26" s="26">
        <f t="shared" si="0"/>
        <v>0</v>
      </c>
      <c r="N26" s="104">
        <f>(((J26+K26)/1000*1.1*30*Таблица2[[#This Row],[Кол.проходов]])/1.2)*D26</f>
        <v>0</v>
      </c>
    </row>
    <row r="27" spans="1:14" ht="15" x14ac:dyDescent="0.2">
      <c r="A27" s="103">
        <v>28</v>
      </c>
      <c r="B27" s="13"/>
      <c r="C27" s="13"/>
      <c r="D27" s="13"/>
      <c r="E27" s="13"/>
      <c r="F27" s="26">
        <f>CEILING(Таблица2[[#This Row],[Толщина, мм]]/5,1)</f>
        <v>0</v>
      </c>
      <c r="G27" s="13"/>
      <c r="H27" s="13"/>
      <c r="I27" s="13"/>
      <c r="J27" s="13"/>
      <c r="K27" s="13"/>
      <c r="L27" s="26">
        <f t="shared" si="1"/>
        <v>0</v>
      </c>
      <c r="M27" s="26">
        <f t="shared" si="0"/>
        <v>0</v>
      </c>
      <c r="N27" s="104">
        <f>(((J27+K27)/1000*1.1*30*Таблица2[[#This Row],[Кол.проходов]])/1.2)*D27</f>
        <v>0</v>
      </c>
    </row>
    <row r="28" spans="1:14" ht="15" x14ac:dyDescent="0.2">
      <c r="A28" s="103">
        <v>29</v>
      </c>
      <c r="B28" s="13"/>
      <c r="C28" s="13"/>
      <c r="D28" s="13"/>
      <c r="E28" s="13"/>
      <c r="F28" s="26">
        <f>CEILING(Таблица2[[#This Row],[Толщина, мм]]/5,1)</f>
        <v>0</v>
      </c>
      <c r="G28" s="13"/>
      <c r="H28" s="13"/>
      <c r="I28" s="13"/>
      <c r="J28" s="13"/>
      <c r="K28" s="13"/>
      <c r="L28" s="26">
        <f t="shared" si="1"/>
        <v>0</v>
      </c>
      <c r="M28" s="26">
        <f t="shared" si="0"/>
        <v>0</v>
      </c>
      <c r="N28" s="104">
        <f>(((J28+K28)/1000*1.1*30*Таблица2[[#This Row],[Кол.проходов]])/1.2)*D28</f>
        <v>0</v>
      </c>
    </row>
    <row r="29" spans="1:14" ht="15" x14ac:dyDescent="0.2">
      <c r="A29" s="103">
        <v>30</v>
      </c>
      <c r="B29" s="13"/>
      <c r="C29" s="13"/>
      <c r="D29" s="13"/>
      <c r="E29" s="13"/>
      <c r="F29" s="26">
        <f>CEILING(Таблица2[[#This Row],[Толщина, мм]]/5,1)</f>
        <v>0</v>
      </c>
      <c r="G29" s="13"/>
      <c r="H29" s="13"/>
      <c r="I29" s="13"/>
      <c r="J29" s="13"/>
      <c r="K29" s="13"/>
      <c r="L29" s="26">
        <f t="shared" si="1"/>
        <v>0</v>
      </c>
      <c r="M29" s="26">
        <f t="shared" si="0"/>
        <v>0</v>
      </c>
      <c r="N29" s="104">
        <f>(((J29+K29)/1000*1.1*30*Таблица2[[#This Row],[Кол.проходов]])/1.2)*D29</f>
        <v>0</v>
      </c>
    </row>
    <row r="30" spans="1:14" ht="15" x14ac:dyDescent="0.2">
      <c r="A30" s="103">
        <v>31</v>
      </c>
      <c r="B30" s="13"/>
      <c r="C30" s="13"/>
      <c r="D30" s="13"/>
      <c r="E30" s="13"/>
      <c r="F30" s="26">
        <f>CEILING(Таблица2[[#This Row],[Толщина, мм]]/5,1)</f>
        <v>0</v>
      </c>
      <c r="G30" s="13"/>
      <c r="H30" s="13"/>
      <c r="I30" s="13"/>
      <c r="J30" s="13"/>
      <c r="K30" s="13"/>
      <c r="L30" s="26">
        <f t="shared" si="1"/>
        <v>0</v>
      </c>
      <c r="M30" s="26">
        <f t="shared" si="0"/>
        <v>0</v>
      </c>
      <c r="N30" s="104">
        <f>(((J30+K30)/1000*1.1*30*Таблица2[[#This Row],[Кол.проходов]])/1.2)*D30</f>
        <v>0</v>
      </c>
    </row>
    <row r="31" spans="1:14" ht="15" x14ac:dyDescent="0.2">
      <c r="A31" s="103">
        <v>32</v>
      </c>
      <c r="B31" s="13"/>
      <c r="C31" s="13"/>
      <c r="D31" s="13"/>
      <c r="E31" s="13"/>
      <c r="F31" s="26">
        <f>CEILING(Таблица2[[#This Row],[Толщина, мм]]/5,1)</f>
        <v>0</v>
      </c>
      <c r="G31" s="13"/>
      <c r="H31" s="13"/>
      <c r="I31" s="13"/>
      <c r="J31" s="13"/>
      <c r="K31" s="13"/>
      <c r="L31" s="26">
        <f t="shared" si="1"/>
        <v>0</v>
      </c>
      <c r="M31" s="26">
        <f t="shared" si="0"/>
        <v>0</v>
      </c>
      <c r="N31" s="104">
        <f>(((J31+K31)/1000*1.1*30*Таблица2[[#This Row],[Кол.проходов]])/1.2)*D31</f>
        <v>0</v>
      </c>
    </row>
    <row r="32" spans="1:14" ht="15" x14ac:dyDescent="0.2">
      <c r="A32" s="103">
        <v>33</v>
      </c>
      <c r="B32" s="13"/>
      <c r="C32" s="13"/>
      <c r="D32" s="13"/>
      <c r="E32" s="13"/>
      <c r="F32" s="26">
        <f>CEILING(Таблица2[[#This Row],[Толщина, мм]]/5,1)</f>
        <v>0</v>
      </c>
      <c r="G32" s="13"/>
      <c r="H32" s="13"/>
      <c r="I32" s="13"/>
      <c r="J32" s="13"/>
      <c r="K32" s="13"/>
      <c r="L32" s="26">
        <f t="shared" si="1"/>
        <v>0</v>
      </c>
      <c r="M32" s="26">
        <f t="shared" si="0"/>
        <v>0</v>
      </c>
      <c r="N32" s="104">
        <f>(((J32+K32)/1000*1.1*30*Таблица2[[#This Row],[Кол.проходов]])/1.2)*D32</f>
        <v>0</v>
      </c>
    </row>
    <row r="33" spans="1:14" ht="15" x14ac:dyDescent="0.2">
      <c r="A33" s="103">
        <v>34</v>
      </c>
      <c r="B33" s="13"/>
      <c r="C33" s="13"/>
      <c r="D33" s="13"/>
      <c r="E33" s="13"/>
      <c r="F33" s="26">
        <f>CEILING(Таблица2[[#This Row],[Толщина, мм]]/5,1)</f>
        <v>0</v>
      </c>
      <c r="G33" s="13"/>
      <c r="H33" s="13"/>
      <c r="I33" s="13"/>
      <c r="J33" s="13"/>
      <c r="K33" s="13"/>
      <c r="L33" s="26">
        <f t="shared" si="1"/>
        <v>0</v>
      </c>
      <c r="M33" s="26">
        <f t="shared" si="0"/>
        <v>0</v>
      </c>
      <c r="N33" s="104">
        <f>(((J33+K33)/1000*1.1*30*Таблица2[[#This Row],[Кол.проходов]])/1.2)*D33</f>
        <v>0</v>
      </c>
    </row>
    <row r="34" spans="1:14" ht="15" x14ac:dyDescent="0.2">
      <c r="A34" s="103">
        <v>35</v>
      </c>
      <c r="B34" s="13"/>
      <c r="C34" s="13"/>
      <c r="D34" s="13"/>
      <c r="E34" s="13"/>
      <c r="F34" s="26">
        <f>CEILING(Таблица2[[#This Row],[Толщина, мм]]/5,1)</f>
        <v>0</v>
      </c>
      <c r="G34" s="13"/>
      <c r="H34" s="13"/>
      <c r="I34" s="13"/>
      <c r="J34" s="13"/>
      <c r="K34" s="13"/>
      <c r="L34" s="26">
        <f t="shared" ref="L34:L51" si="2">D34*H34</f>
        <v>0</v>
      </c>
      <c r="M34" s="26">
        <f t="shared" si="0"/>
        <v>0</v>
      </c>
      <c r="N34" s="104">
        <f>(((J34+K34)/1000*1.1*30*Таблица2[[#This Row],[Кол.проходов]])/1.2)*D34</f>
        <v>0</v>
      </c>
    </row>
    <row r="35" spans="1:14" ht="15" x14ac:dyDescent="0.2">
      <c r="A35" s="103">
        <v>36</v>
      </c>
      <c r="B35" s="13"/>
      <c r="C35" s="13"/>
      <c r="D35" s="13"/>
      <c r="E35" s="13"/>
      <c r="F35" s="26">
        <f>CEILING(Таблица2[[#This Row],[Толщина, мм]]/5,1)</f>
        <v>0</v>
      </c>
      <c r="G35" s="13"/>
      <c r="H35" s="13"/>
      <c r="I35" s="13"/>
      <c r="J35" s="13"/>
      <c r="K35" s="13"/>
      <c r="L35" s="26">
        <f t="shared" si="2"/>
        <v>0</v>
      </c>
      <c r="M35" s="26">
        <f t="shared" si="0"/>
        <v>0</v>
      </c>
      <c r="N35" s="104">
        <f>(((J35+K35)/1000*1.1*30*Таблица2[[#This Row],[Кол.проходов]])/1.2)*D35</f>
        <v>0</v>
      </c>
    </row>
    <row r="36" spans="1:14" ht="15" x14ac:dyDescent="0.2">
      <c r="A36" s="103">
        <v>37</v>
      </c>
      <c r="B36" s="13"/>
      <c r="C36" s="13"/>
      <c r="D36" s="13"/>
      <c r="E36" s="13"/>
      <c r="F36" s="26">
        <f>CEILING(Таблица2[[#This Row],[Толщина, мм]]/5,1)</f>
        <v>0</v>
      </c>
      <c r="G36" s="13"/>
      <c r="H36" s="13"/>
      <c r="I36" s="13"/>
      <c r="J36" s="13"/>
      <c r="K36" s="13"/>
      <c r="L36" s="26">
        <f t="shared" si="2"/>
        <v>0</v>
      </c>
      <c r="M36" s="26">
        <f t="shared" si="0"/>
        <v>0</v>
      </c>
      <c r="N36" s="104">
        <f>(((J36+K36)/1000*1.1*30*Таблица2[[#This Row],[Кол.проходов]])/1.2)*D36</f>
        <v>0</v>
      </c>
    </row>
    <row r="37" spans="1:14" ht="15" x14ac:dyDescent="0.2">
      <c r="A37" s="103">
        <v>38</v>
      </c>
      <c r="B37" s="13"/>
      <c r="C37" s="13"/>
      <c r="D37" s="13"/>
      <c r="E37" s="13"/>
      <c r="F37" s="26">
        <f>CEILING(Таблица2[[#This Row],[Толщина, мм]]/5,1)</f>
        <v>0</v>
      </c>
      <c r="G37" s="13"/>
      <c r="H37" s="13"/>
      <c r="I37" s="13"/>
      <c r="J37" s="13"/>
      <c r="K37" s="13"/>
      <c r="L37" s="26">
        <f t="shared" si="2"/>
        <v>0</v>
      </c>
      <c r="M37" s="26">
        <f t="shared" si="0"/>
        <v>0</v>
      </c>
      <c r="N37" s="104">
        <f>(((J37+K37)/1000*1.1*30*Таблица2[[#This Row],[Кол.проходов]])/1.2)*D37</f>
        <v>0</v>
      </c>
    </row>
    <row r="38" spans="1:14" ht="15" x14ac:dyDescent="0.2">
      <c r="A38" s="103">
        <v>39</v>
      </c>
      <c r="B38" s="13"/>
      <c r="C38" s="13"/>
      <c r="D38" s="13"/>
      <c r="E38" s="13"/>
      <c r="F38" s="26">
        <f>CEILING(Таблица2[[#This Row],[Толщина, мм]]/5,1)</f>
        <v>0</v>
      </c>
      <c r="G38" s="13"/>
      <c r="H38" s="13"/>
      <c r="I38" s="13"/>
      <c r="J38" s="13"/>
      <c r="K38" s="13"/>
      <c r="L38" s="26">
        <f>D38*H38</f>
        <v>0</v>
      </c>
      <c r="M38" s="26">
        <f t="shared" si="0"/>
        <v>0</v>
      </c>
      <c r="N38" s="104">
        <f>(((J38+K38)/1000*1.1*30*Таблица2[[#This Row],[Кол.проходов]])/1.2)*D38</f>
        <v>0</v>
      </c>
    </row>
    <row r="39" spans="1:14" ht="15" x14ac:dyDescent="0.2">
      <c r="A39" s="103">
        <v>40</v>
      </c>
      <c r="B39" s="13"/>
      <c r="C39" s="13"/>
      <c r="D39" s="13"/>
      <c r="E39" s="13"/>
      <c r="F39" s="26">
        <f>CEILING(Таблица2[[#This Row],[Толщина, мм]]/5,1)</f>
        <v>0</v>
      </c>
      <c r="G39" s="13"/>
      <c r="H39" s="13"/>
      <c r="I39" s="13"/>
      <c r="J39" s="13"/>
      <c r="K39" s="13"/>
      <c r="L39" s="26">
        <f t="shared" si="2"/>
        <v>0</v>
      </c>
      <c r="M39" s="26">
        <f t="shared" si="0"/>
        <v>0</v>
      </c>
      <c r="N39" s="104">
        <f>(((J39+K39)/1000*1.1*30*Таблица2[[#This Row],[Кол.проходов]])/1.2)*D39</f>
        <v>0</v>
      </c>
    </row>
    <row r="40" spans="1:14" ht="15" x14ac:dyDescent="0.2">
      <c r="A40" s="103">
        <v>41</v>
      </c>
      <c r="B40" s="13"/>
      <c r="C40" s="13"/>
      <c r="D40" s="13"/>
      <c r="E40" s="13"/>
      <c r="F40" s="26">
        <f>CEILING(Таблица2[[#This Row],[Толщина, мм]]/5,1)</f>
        <v>0</v>
      </c>
      <c r="G40" s="13"/>
      <c r="H40" s="13"/>
      <c r="I40" s="13"/>
      <c r="J40" s="13"/>
      <c r="K40" s="13"/>
      <c r="L40" s="26">
        <f t="shared" si="2"/>
        <v>0</v>
      </c>
      <c r="M40" s="26">
        <f t="shared" si="0"/>
        <v>0</v>
      </c>
      <c r="N40" s="104">
        <f>(((J40+K40)/1000*1.1*30*Таблица2[[#This Row],[Кол.проходов]])/1.2)*D40</f>
        <v>0</v>
      </c>
    </row>
    <row r="41" spans="1:14" ht="15" x14ac:dyDescent="0.2">
      <c r="A41" s="103">
        <v>42</v>
      </c>
      <c r="B41" s="13"/>
      <c r="C41" s="13"/>
      <c r="D41" s="13"/>
      <c r="E41" s="13"/>
      <c r="F41" s="26">
        <f>CEILING(Таблица2[[#This Row],[Толщина, мм]]/5,1)</f>
        <v>0</v>
      </c>
      <c r="G41" s="13"/>
      <c r="H41" s="13"/>
      <c r="I41" s="13"/>
      <c r="J41" s="13"/>
      <c r="K41" s="13"/>
      <c r="L41" s="26">
        <f t="shared" si="2"/>
        <v>0</v>
      </c>
      <c r="M41" s="26">
        <f t="shared" si="0"/>
        <v>0</v>
      </c>
      <c r="N41" s="104">
        <f>(((J41+K41)/1000*1.1*30*Таблица2[[#This Row],[Кол.проходов]])/1.2)*D41</f>
        <v>0</v>
      </c>
    </row>
    <row r="42" spans="1:14" ht="15" x14ac:dyDescent="0.2">
      <c r="A42" s="103">
        <v>43</v>
      </c>
      <c r="B42" s="13"/>
      <c r="C42" s="13"/>
      <c r="D42" s="13"/>
      <c r="E42" s="13"/>
      <c r="F42" s="26">
        <f>CEILING(Таблица2[[#This Row],[Толщина, мм]]/5,1)</f>
        <v>0</v>
      </c>
      <c r="G42" s="13"/>
      <c r="H42" s="13"/>
      <c r="I42" s="13"/>
      <c r="J42" s="13"/>
      <c r="K42" s="13"/>
      <c r="L42" s="26">
        <f t="shared" si="2"/>
        <v>0</v>
      </c>
      <c r="M42" s="26">
        <f t="shared" si="0"/>
        <v>0</v>
      </c>
      <c r="N42" s="104">
        <f>(((J42+K42)/1000*1.1*30*Таблица2[[#This Row],[Кол.проходов]])/1.2)*D42</f>
        <v>0</v>
      </c>
    </row>
    <row r="43" spans="1:14" ht="15" x14ac:dyDescent="0.2">
      <c r="A43" s="103">
        <v>44</v>
      </c>
      <c r="B43" s="13"/>
      <c r="C43" s="13"/>
      <c r="D43" s="13"/>
      <c r="E43" s="13"/>
      <c r="F43" s="26">
        <f>CEILING(Таблица2[[#This Row],[Толщина, мм]]/5,1)</f>
        <v>0</v>
      </c>
      <c r="G43" s="13"/>
      <c r="H43" s="13"/>
      <c r="I43" s="13"/>
      <c r="J43" s="13"/>
      <c r="K43" s="13"/>
      <c r="L43" s="26">
        <f t="shared" si="2"/>
        <v>0</v>
      </c>
      <c r="M43" s="26">
        <f t="shared" si="0"/>
        <v>0</v>
      </c>
      <c r="N43" s="104">
        <f>(((J43+K43)/1000*1.1*30*Таблица2[[#This Row],[Кол.проходов]])/1.2)*D43</f>
        <v>0</v>
      </c>
    </row>
    <row r="44" spans="1:14" ht="15" x14ac:dyDescent="0.2">
      <c r="A44" s="103">
        <v>45</v>
      </c>
      <c r="B44" s="13"/>
      <c r="C44" s="13"/>
      <c r="D44" s="13"/>
      <c r="E44" s="13"/>
      <c r="F44" s="26">
        <f>CEILING(Таблица2[[#This Row],[Толщина, мм]]/5,1)</f>
        <v>0</v>
      </c>
      <c r="G44" s="13"/>
      <c r="H44" s="13"/>
      <c r="I44" s="13"/>
      <c r="J44" s="13"/>
      <c r="K44" s="13"/>
      <c r="L44" s="26">
        <f t="shared" si="2"/>
        <v>0</v>
      </c>
      <c r="M44" s="26">
        <f t="shared" si="0"/>
        <v>0</v>
      </c>
      <c r="N44" s="104">
        <f>(((J44+K44)/1000*1.1*30*Таблица2[[#This Row],[Кол.проходов]])/1.2)*D44</f>
        <v>0</v>
      </c>
    </row>
    <row r="45" spans="1:14" ht="15" x14ac:dyDescent="0.2">
      <c r="A45" s="103">
        <v>46</v>
      </c>
      <c r="B45" s="13"/>
      <c r="C45" s="13"/>
      <c r="D45" s="13"/>
      <c r="E45" s="13"/>
      <c r="F45" s="26">
        <f>CEILING(Таблица2[[#This Row],[Толщина, мм]]/5,1)</f>
        <v>0</v>
      </c>
      <c r="G45" s="13"/>
      <c r="H45" s="13"/>
      <c r="I45" s="13"/>
      <c r="J45" s="13"/>
      <c r="K45" s="13"/>
      <c r="L45" s="26">
        <f t="shared" si="2"/>
        <v>0</v>
      </c>
      <c r="M45" s="26">
        <f t="shared" si="0"/>
        <v>0</v>
      </c>
      <c r="N45" s="104">
        <f>(((J45+K45)/1000*1.1*30*Таблица2[[#This Row],[Кол.проходов]])/1.2)*D45</f>
        <v>0</v>
      </c>
    </row>
    <row r="46" spans="1:14" ht="15" x14ac:dyDescent="0.2">
      <c r="A46" s="103">
        <v>47</v>
      </c>
      <c r="B46" s="13"/>
      <c r="C46" s="13"/>
      <c r="D46" s="13"/>
      <c r="E46" s="13"/>
      <c r="F46" s="26">
        <f>CEILING(Таблица2[[#This Row],[Толщина, мм]]/5,1)</f>
        <v>0</v>
      </c>
      <c r="G46" s="13"/>
      <c r="H46" s="13"/>
      <c r="I46" s="13"/>
      <c r="J46" s="13"/>
      <c r="K46" s="13"/>
      <c r="L46" s="26">
        <f t="shared" si="2"/>
        <v>0</v>
      </c>
      <c r="M46" s="26">
        <f t="shared" si="0"/>
        <v>0</v>
      </c>
      <c r="N46" s="104">
        <f>(((J46+K46)/1000*1.1*30*Таблица2[[#This Row],[Кол.проходов]])/1.2)*D46</f>
        <v>0</v>
      </c>
    </row>
    <row r="47" spans="1:14" ht="15" x14ac:dyDescent="0.2">
      <c r="A47" s="103">
        <v>48</v>
      </c>
      <c r="B47" s="13"/>
      <c r="C47" s="13"/>
      <c r="D47" s="13"/>
      <c r="E47" s="13"/>
      <c r="F47" s="26">
        <f>CEILING(Таблица2[[#This Row],[Толщина, мм]]/5,1)</f>
        <v>0</v>
      </c>
      <c r="G47" s="13"/>
      <c r="H47" s="13"/>
      <c r="I47" s="13"/>
      <c r="J47" s="13"/>
      <c r="K47" s="13"/>
      <c r="L47" s="26">
        <f t="shared" si="2"/>
        <v>0</v>
      </c>
      <c r="M47" s="26">
        <f t="shared" si="0"/>
        <v>0</v>
      </c>
      <c r="N47" s="104">
        <f>(((J47+K47)/1000*1.1*30*Таблица2[[#This Row],[Кол.проходов]])/1.2)*D47</f>
        <v>0</v>
      </c>
    </row>
    <row r="48" spans="1:14" ht="15" x14ac:dyDescent="0.2">
      <c r="A48" s="103">
        <v>49</v>
      </c>
      <c r="B48" s="13"/>
      <c r="C48" s="13"/>
      <c r="D48" s="13"/>
      <c r="E48" s="13"/>
      <c r="F48" s="26">
        <f>CEILING(Таблица2[[#This Row],[Толщина, мм]]/5,1)</f>
        <v>0</v>
      </c>
      <c r="G48" s="13"/>
      <c r="H48" s="13"/>
      <c r="I48" s="13"/>
      <c r="J48" s="13"/>
      <c r="K48" s="13"/>
      <c r="L48" s="26">
        <f t="shared" si="2"/>
        <v>0</v>
      </c>
      <c r="M48" s="26">
        <f t="shared" si="0"/>
        <v>0</v>
      </c>
      <c r="N48" s="104">
        <f>(((J48+K48)/1000*1.1*30*Таблица2[[#This Row],[Кол.проходов]])/1.2)*D48</f>
        <v>0</v>
      </c>
    </row>
    <row r="49" spans="1:14" ht="15" x14ac:dyDescent="0.2">
      <c r="A49" s="103">
        <v>50</v>
      </c>
      <c r="B49" s="13"/>
      <c r="C49" s="13"/>
      <c r="D49" s="13"/>
      <c r="E49" s="13"/>
      <c r="F49" s="26">
        <f>CEILING(Таблица2[[#This Row],[Толщина, мм]]/5,1)</f>
        <v>0</v>
      </c>
      <c r="G49" s="13"/>
      <c r="H49" s="13"/>
      <c r="I49" s="13"/>
      <c r="J49" s="13"/>
      <c r="K49" s="13"/>
      <c r="L49" s="26">
        <f t="shared" si="2"/>
        <v>0</v>
      </c>
      <c r="M49" s="26">
        <f t="shared" si="0"/>
        <v>0</v>
      </c>
      <c r="N49" s="104">
        <f>(((J49+K49)/1000*1.1*30*Таблица2[[#This Row],[Кол.проходов]])/1.2)*D49</f>
        <v>0</v>
      </c>
    </row>
    <row r="50" spans="1:14" ht="15" x14ac:dyDescent="0.2">
      <c r="A50" s="103">
        <v>51</v>
      </c>
      <c r="B50" s="13"/>
      <c r="C50" s="13"/>
      <c r="D50" s="13"/>
      <c r="E50" s="13"/>
      <c r="F50" s="26">
        <f>CEILING(Таблица2[[#This Row],[Толщина, мм]]/5,1)</f>
        <v>0</v>
      </c>
      <c r="G50" s="13"/>
      <c r="H50" s="13"/>
      <c r="I50" s="13"/>
      <c r="J50" s="13"/>
      <c r="K50" s="13"/>
      <c r="L50" s="26">
        <f t="shared" si="2"/>
        <v>0</v>
      </c>
      <c r="M50" s="26">
        <f t="shared" si="0"/>
        <v>0</v>
      </c>
      <c r="N50" s="104">
        <f>(((J50+K50)/1000*1.1*30*Таблица2[[#This Row],[Кол.проходов]])/1.2)*D50</f>
        <v>0</v>
      </c>
    </row>
    <row r="51" spans="1:14" ht="15" x14ac:dyDescent="0.2">
      <c r="A51" s="108">
        <v>52</v>
      </c>
      <c r="B51" s="31"/>
      <c r="C51" s="31"/>
      <c r="D51" s="31"/>
      <c r="E51" s="31"/>
      <c r="F51" s="26">
        <f>CEILING(Таблица2[[#This Row],[Толщина, мм]]/5,1)</f>
        <v>0</v>
      </c>
      <c r="G51" s="31"/>
      <c r="H51" s="31"/>
      <c r="I51" s="31"/>
      <c r="J51" s="31"/>
      <c r="K51" s="31"/>
      <c r="L51" s="29">
        <f t="shared" si="2"/>
        <v>0</v>
      </c>
      <c r="M51" s="26">
        <f t="shared" si="0"/>
        <v>0</v>
      </c>
      <c r="N51" s="104">
        <f>(((J51+K51)/1000*1.1*30*Таблица2[[#This Row],[Кол.проходов]])/1.2)*D51</f>
        <v>0</v>
      </c>
    </row>
    <row r="52" spans="1:14" ht="15" x14ac:dyDescent="0.2">
      <c r="L52" s="97">
        <f>SUM(L2:L51)</f>
        <v>0</v>
      </c>
      <c r="M52" s="97">
        <f>SUM(M2:M51)</f>
        <v>0</v>
      </c>
      <c r="N52" s="97">
        <f>SUM(N2:N51)</f>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00"/>
  <sheetViews>
    <sheetView topLeftCell="A13" workbookViewId="0">
      <selection activeCell="A39" sqref="A39"/>
    </sheetView>
  </sheetViews>
  <sheetFormatPr defaultColWidth="9.33203125" defaultRowHeight="11.25" x14ac:dyDescent="0.2"/>
  <cols>
    <col min="1" max="1" width="35.5" style="37" customWidth="1"/>
    <col min="2" max="2" width="4.5" style="37" customWidth="1"/>
    <col min="3" max="4" width="9.33203125" style="37"/>
    <col min="5" max="5" width="20.6640625" style="37" customWidth="1"/>
    <col min="6" max="6" width="21.6640625" style="37" customWidth="1"/>
    <col min="7" max="7" width="16.1640625" style="37" customWidth="1"/>
    <col min="8" max="8" width="9.33203125" style="37"/>
    <col min="9" max="9" width="25.6640625" style="37" customWidth="1"/>
    <col min="10" max="10" width="19.6640625" style="37" customWidth="1"/>
    <col min="11" max="11" width="9.33203125" style="37"/>
    <col min="12" max="12" width="23.6640625" style="37" customWidth="1"/>
    <col min="13" max="13" width="9.33203125" style="37" customWidth="1"/>
    <col min="14" max="16384" width="9.33203125" style="37"/>
  </cols>
  <sheetData>
    <row r="1" spans="1:32" ht="19.5" thickBot="1" x14ac:dyDescent="0.35">
      <c r="I1" s="291" t="s">
        <v>34</v>
      </c>
      <c r="J1" s="292"/>
      <c r="L1" s="291" t="s">
        <v>107</v>
      </c>
      <c r="M1" s="292"/>
      <c r="X1" s="295" t="s">
        <v>35</v>
      </c>
      <c r="Y1" s="296"/>
      <c r="Z1" s="296"/>
      <c r="AA1" s="297"/>
      <c r="AC1" s="38">
        <v>0.5</v>
      </c>
      <c r="AD1" s="38">
        <v>1</v>
      </c>
      <c r="AE1" s="38">
        <v>2</v>
      </c>
      <c r="AF1" s="39">
        <v>3</v>
      </c>
    </row>
    <row r="2" spans="1:32" ht="19.5" thickBot="1" x14ac:dyDescent="0.35">
      <c r="A2" s="46" t="s">
        <v>36</v>
      </c>
      <c r="B2" s="94"/>
      <c r="E2" s="304" t="s">
        <v>37</v>
      </c>
      <c r="F2" s="305"/>
      <c r="G2" s="306"/>
      <c r="I2" s="293"/>
      <c r="J2" s="294"/>
      <c r="L2" s="310"/>
      <c r="M2" s="311"/>
      <c r="X2" s="298"/>
      <c r="Y2" s="299"/>
      <c r="Z2" s="299"/>
      <c r="AA2" s="300"/>
      <c r="AB2" s="40">
        <v>0.5</v>
      </c>
      <c r="AC2" s="38">
        <v>1</v>
      </c>
      <c r="AD2" s="38">
        <v>1.5</v>
      </c>
      <c r="AE2" s="38">
        <v>2</v>
      </c>
      <c r="AF2" s="39">
        <v>3</v>
      </c>
    </row>
    <row r="3" spans="1:32" ht="37.5" x14ac:dyDescent="0.3">
      <c r="A3" s="46" t="s">
        <v>38</v>
      </c>
      <c r="B3" s="94"/>
      <c r="E3" s="47" t="s">
        <v>37</v>
      </c>
      <c r="F3" s="47" t="s">
        <v>39</v>
      </c>
      <c r="G3" s="47" t="s">
        <v>40</v>
      </c>
      <c r="I3" s="48" t="s">
        <v>41</v>
      </c>
      <c r="J3" s="49" t="s">
        <v>42</v>
      </c>
      <c r="L3" s="86" t="s">
        <v>85</v>
      </c>
      <c r="M3" s="42">
        <v>94</v>
      </c>
      <c r="X3" s="298"/>
      <c r="Y3" s="299"/>
      <c r="Z3" s="299"/>
      <c r="AA3" s="300"/>
      <c r="AB3" s="40">
        <v>0.8</v>
      </c>
      <c r="AC3" s="38">
        <v>1</v>
      </c>
      <c r="AD3" s="38">
        <v>1.5</v>
      </c>
      <c r="AE3" s="38">
        <v>2</v>
      </c>
      <c r="AF3" s="39">
        <v>3</v>
      </c>
    </row>
    <row r="4" spans="1:32" ht="19.5" thickBot="1" x14ac:dyDescent="0.35">
      <c r="E4" s="41" t="s">
        <v>43</v>
      </c>
      <c r="F4" s="50">
        <v>120</v>
      </c>
      <c r="G4" s="42">
        <v>8</v>
      </c>
      <c r="I4" s="51">
        <v>0.5</v>
      </c>
      <c r="J4" s="51">
        <f>0.5*1.15</f>
        <v>0.57499999999999996</v>
      </c>
      <c r="L4" s="86" t="s">
        <v>86</v>
      </c>
      <c r="M4" s="42">
        <v>87</v>
      </c>
      <c r="X4" s="298"/>
      <c r="Y4" s="299"/>
      <c r="Z4" s="299"/>
      <c r="AA4" s="300"/>
      <c r="AB4" s="43">
        <v>1</v>
      </c>
      <c r="AC4" s="44">
        <v>1</v>
      </c>
      <c r="AD4" s="44">
        <v>1.5</v>
      </c>
      <c r="AE4" s="44">
        <v>2</v>
      </c>
      <c r="AF4" s="45">
        <v>3</v>
      </c>
    </row>
    <row r="5" spans="1:32" ht="19.5" thickBot="1" x14ac:dyDescent="0.35">
      <c r="A5" s="52" t="s">
        <v>44</v>
      </c>
      <c r="B5" s="53"/>
      <c r="E5" s="41" t="s">
        <v>45</v>
      </c>
      <c r="F5" s="50">
        <v>120</v>
      </c>
      <c r="G5" s="42">
        <v>8</v>
      </c>
      <c r="I5" s="51">
        <v>0.8</v>
      </c>
      <c r="J5" s="51">
        <f>0.8*1.15</f>
        <v>0.91999999999999993</v>
      </c>
      <c r="L5" s="86" t="s">
        <v>88</v>
      </c>
      <c r="M5" s="42">
        <v>160</v>
      </c>
      <c r="X5" s="298"/>
      <c r="Y5" s="299"/>
      <c r="Z5" s="299"/>
      <c r="AA5" s="300"/>
      <c r="AB5" s="43">
        <v>1.2</v>
      </c>
      <c r="AC5" s="44">
        <v>1</v>
      </c>
      <c r="AD5" s="44">
        <v>1.5</v>
      </c>
      <c r="AE5" s="44">
        <v>2</v>
      </c>
      <c r="AF5" s="45">
        <v>3</v>
      </c>
    </row>
    <row r="6" spans="1:32" ht="19.5" thickBot="1" x14ac:dyDescent="0.35">
      <c r="A6" s="52" t="s">
        <v>46</v>
      </c>
      <c r="B6" s="53"/>
      <c r="E6" s="41" t="s">
        <v>47</v>
      </c>
      <c r="F6" s="50">
        <v>110</v>
      </c>
      <c r="G6" s="42">
        <v>8</v>
      </c>
      <c r="I6" s="51">
        <v>1</v>
      </c>
      <c r="J6" s="51">
        <f>1*1.15</f>
        <v>1.1499999999999999</v>
      </c>
      <c r="L6" s="215" t="s">
        <v>87</v>
      </c>
      <c r="M6" s="42">
        <v>120</v>
      </c>
      <c r="X6" s="298"/>
      <c r="Y6" s="299"/>
      <c r="Z6" s="299"/>
      <c r="AA6" s="300"/>
      <c r="AB6" s="43">
        <v>1.5</v>
      </c>
      <c r="AC6" s="44">
        <v>1</v>
      </c>
      <c r="AD6" s="44">
        <v>1.5</v>
      </c>
      <c r="AE6" s="44">
        <v>2</v>
      </c>
      <c r="AF6" s="45">
        <v>3</v>
      </c>
    </row>
    <row r="7" spans="1:32" ht="19.5" thickBot="1" x14ac:dyDescent="0.35">
      <c r="A7" s="52" t="s">
        <v>48</v>
      </c>
      <c r="B7" s="53"/>
      <c r="E7" s="41" t="s">
        <v>49</v>
      </c>
      <c r="F7" s="50">
        <v>140</v>
      </c>
      <c r="G7" s="42">
        <v>8</v>
      </c>
      <c r="I7" s="51">
        <v>1.2</v>
      </c>
      <c r="J7" s="51">
        <f>1*1.15</f>
        <v>1.1499999999999999</v>
      </c>
      <c r="L7" s="86" t="s">
        <v>89</v>
      </c>
      <c r="M7" s="42">
        <v>600</v>
      </c>
      <c r="X7" s="298"/>
      <c r="Y7" s="299"/>
      <c r="Z7" s="299"/>
      <c r="AA7" s="300"/>
      <c r="AB7" s="43">
        <v>2</v>
      </c>
      <c r="AC7" s="44">
        <v>1</v>
      </c>
      <c r="AD7" s="44">
        <v>1.5</v>
      </c>
      <c r="AE7" s="44">
        <v>2</v>
      </c>
      <c r="AF7" s="45">
        <v>3</v>
      </c>
    </row>
    <row r="8" spans="1:32" ht="19.5" thickBot="1" x14ac:dyDescent="0.35">
      <c r="A8" s="52" t="s">
        <v>50</v>
      </c>
      <c r="B8" s="53"/>
      <c r="E8" s="41" t="s">
        <v>51</v>
      </c>
      <c r="F8" s="50">
        <v>760</v>
      </c>
      <c r="G8" s="42">
        <v>3</v>
      </c>
      <c r="I8" s="51">
        <v>1.5</v>
      </c>
      <c r="J8" s="51">
        <f>1.5*1.15</f>
        <v>1.7249999999999999</v>
      </c>
      <c r="L8" s="86" t="s">
        <v>90</v>
      </c>
      <c r="M8" s="42">
        <v>1000</v>
      </c>
      <c r="X8" s="298"/>
      <c r="Y8" s="299"/>
      <c r="Z8" s="299"/>
      <c r="AA8" s="300"/>
      <c r="AB8" s="43">
        <v>2.5</v>
      </c>
      <c r="AC8" s="44">
        <v>1.5</v>
      </c>
      <c r="AD8" s="44">
        <v>2</v>
      </c>
      <c r="AE8" s="44">
        <v>3</v>
      </c>
      <c r="AF8" s="45">
        <v>4</v>
      </c>
    </row>
    <row r="9" spans="1:32" ht="19.5" thickBot="1" x14ac:dyDescent="0.35">
      <c r="E9" s="41" t="s">
        <v>52</v>
      </c>
      <c r="F9" s="50">
        <v>450</v>
      </c>
      <c r="G9" s="42">
        <v>8</v>
      </c>
      <c r="I9" s="51">
        <v>2</v>
      </c>
      <c r="J9" s="51">
        <f>2*1.15</f>
        <v>2.2999999999999998</v>
      </c>
      <c r="L9" s="86" t="s">
        <v>91</v>
      </c>
      <c r="M9" s="42">
        <v>650</v>
      </c>
      <c r="X9" s="298"/>
      <c r="Y9" s="299"/>
      <c r="Z9" s="299"/>
      <c r="AA9" s="300"/>
      <c r="AB9" s="43">
        <v>3</v>
      </c>
      <c r="AC9" s="44">
        <v>1.5</v>
      </c>
      <c r="AD9" s="44">
        <v>2</v>
      </c>
      <c r="AE9" s="44">
        <v>3</v>
      </c>
      <c r="AF9" s="45">
        <v>4</v>
      </c>
    </row>
    <row r="10" spans="1:32" ht="19.5" thickBot="1" x14ac:dyDescent="0.35">
      <c r="A10" s="53" t="s">
        <v>53</v>
      </c>
      <c r="B10" s="53"/>
      <c r="E10" s="41" t="s">
        <v>54</v>
      </c>
      <c r="F10" s="50"/>
      <c r="G10" s="42"/>
      <c r="I10" s="51">
        <v>2.5</v>
      </c>
      <c r="J10" s="51">
        <f>2*1.15</f>
        <v>2.2999999999999998</v>
      </c>
      <c r="X10" s="298"/>
      <c r="Y10" s="299"/>
      <c r="Z10" s="299"/>
      <c r="AA10" s="300"/>
      <c r="AB10" s="43">
        <v>4</v>
      </c>
      <c r="AC10" s="44">
        <v>1.5</v>
      </c>
      <c r="AD10" s="44">
        <v>2</v>
      </c>
      <c r="AE10" s="44">
        <v>3</v>
      </c>
      <c r="AF10" s="45">
        <v>4</v>
      </c>
    </row>
    <row r="11" spans="1:32" ht="19.5" thickBot="1" x14ac:dyDescent="0.35">
      <c r="A11" s="53" t="s">
        <v>55</v>
      </c>
      <c r="B11" s="53"/>
      <c r="I11" s="51">
        <v>3</v>
      </c>
      <c r="J11" s="51">
        <f>2*1.15</f>
        <v>2.2999999999999998</v>
      </c>
      <c r="X11" s="298"/>
      <c r="Y11" s="299"/>
      <c r="Z11" s="299"/>
      <c r="AA11" s="300"/>
      <c r="AB11" s="43">
        <v>5</v>
      </c>
      <c r="AC11" s="44">
        <v>2</v>
      </c>
      <c r="AD11" s="44">
        <v>3</v>
      </c>
      <c r="AE11" s="44">
        <v>4</v>
      </c>
      <c r="AF11" s="45">
        <v>5</v>
      </c>
    </row>
    <row r="12" spans="1:32" ht="19.5" thickBot="1" x14ac:dyDescent="0.35">
      <c r="I12" s="51">
        <v>4</v>
      </c>
      <c r="J12" s="51">
        <f>3*1.15</f>
        <v>3.4499999999999997</v>
      </c>
      <c r="X12" s="298"/>
      <c r="Y12" s="299"/>
      <c r="Z12" s="299"/>
      <c r="AA12" s="300"/>
      <c r="AB12" s="43">
        <v>6</v>
      </c>
      <c r="AC12" s="44">
        <v>2</v>
      </c>
      <c r="AD12" s="44">
        <v>3</v>
      </c>
      <c r="AE12" s="44">
        <v>4</v>
      </c>
      <c r="AF12" s="45">
        <v>5</v>
      </c>
    </row>
    <row r="13" spans="1:32" ht="19.5" thickBot="1" x14ac:dyDescent="0.35">
      <c r="I13" s="51">
        <v>5</v>
      </c>
      <c r="J13" s="51">
        <f>3*1.15</f>
        <v>3.4499999999999997</v>
      </c>
      <c r="X13" s="298"/>
      <c r="Y13" s="299"/>
      <c r="Z13" s="299"/>
      <c r="AA13" s="300"/>
      <c r="AB13" s="43">
        <v>7</v>
      </c>
      <c r="AC13" s="44">
        <v>2</v>
      </c>
      <c r="AD13" s="44">
        <v>3</v>
      </c>
      <c r="AE13" s="44">
        <v>4</v>
      </c>
      <c r="AF13" s="45">
        <v>5</v>
      </c>
    </row>
    <row r="14" spans="1:32" ht="19.5" thickBot="1" x14ac:dyDescent="0.35">
      <c r="I14" s="51">
        <v>6</v>
      </c>
      <c r="J14" s="51">
        <f>3*1.15</f>
        <v>3.4499999999999997</v>
      </c>
      <c r="X14" s="298"/>
      <c r="Y14" s="299"/>
      <c r="Z14" s="299"/>
      <c r="AA14" s="300"/>
      <c r="AB14" s="43">
        <v>8</v>
      </c>
      <c r="AC14" s="44">
        <v>2</v>
      </c>
      <c r="AD14" s="44">
        <v>3</v>
      </c>
      <c r="AE14" s="44">
        <v>4</v>
      </c>
      <c r="AF14" s="45">
        <v>5</v>
      </c>
    </row>
    <row r="15" spans="1:32" ht="19.5" thickBot="1" x14ac:dyDescent="0.35">
      <c r="I15" s="51">
        <v>7</v>
      </c>
      <c r="J15" s="51">
        <f>4*1.15</f>
        <v>4.5999999999999996</v>
      </c>
      <c r="X15" s="298"/>
      <c r="Y15" s="299"/>
      <c r="Z15" s="299"/>
      <c r="AA15" s="300"/>
      <c r="AB15" s="43">
        <v>9</v>
      </c>
      <c r="AC15" s="44">
        <v>2</v>
      </c>
      <c r="AD15" s="44">
        <v>3</v>
      </c>
      <c r="AE15" s="44">
        <v>4</v>
      </c>
      <c r="AF15" s="45">
        <v>5</v>
      </c>
    </row>
    <row r="16" spans="1:32" ht="19.5" thickBot="1" x14ac:dyDescent="0.35">
      <c r="I16" s="51">
        <v>8</v>
      </c>
      <c r="J16" s="51">
        <f t="shared" ref="J16:J17" si="0">4*1.15</f>
        <v>4.5999999999999996</v>
      </c>
      <c r="X16" s="301"/>
      <c r="Y16" s="302"/>
      <c r="Z16" s="302"/>
      <c r="AA16" s="303"/>
      <c r="AB16" s="43">
        <v>10</v>
      </c>
      <c r="AC16" s="44">
        <v>2</v>
      </c>
      <c r="AD16" s="44">
        <v>3</v>
      </c>
      <c r="AE16" s="44">
        <v>4</v>
      </c>
      <c r="AF16" s="45">
        <v>5</v>
      </c>
    </row>
    <row r="17" spans="1:20" ht="15.75" x14ac:dyDescent="0.2">
      <c r="I17" s="51">
        <v>9</v>
      </c>
      <c r="J17" s="51">
        <f t="shared" si="0"/>
        <v>4.5999999999999996</v>
      </c>
    </row>
    <row r="18" spans="1:20" ht="15.75" x14ac:dyDescent="0.2">
      <c r="I18" s="51">
        <v>10</v>
      </c>
      <c r="J18" s="51">
        <f>5*1.15</f>
        <v>5.75</v>
      </c>
    </row>
    <row r="19" spans="1:20" ht="15.75" x14ac:dyDescent="0.2">
      <c r="I19" s="51">
        <v>12</v>
      </c>
      <c r="J19" s="51">
        <f>6*1.15</f>
        <v>6.8999999999999995</v>
      </c>
    </row>
    <row r="20" spans="1:20" ht="15.75" x14ac:dyDescent="0.2">
      <c r="I20" s="51">
        <v>16</v>
      </c>
      <c r="J20" s="51">
        <f>10*1.15</f>
        <v>11.5</v>
      </c>
    </row>
    <row r="21" spans="1:20" ht="15.75" x14ac:dyDescent="0.2">
      <c r="I21" s="51">
        <v>20</v>
      </c>
      <c r="J21" s="51">
        <f>12*1.15</f>
        <v>13.799999999999999</v>
      </c>
    </row>
    <row r="22" spans="1:20" ht="15.75" x14ac:dyDescent="0.2">
      <c r="I22" s="54"/>
      <c r="J22" s="54"/>
    </row>
    <row r="23" spans="1:20" ht="15.75" x14ac:dyDescent="0.2">
      <c r="I23" s="54"/>
      <c r="J23" s="54"/>
    </row>
    <row r="24" spans="1:20" ht="12" thickBot="1" x14ac:dyDescent="0.25"/>
    <row r="25" spans="1:20" ht="18.75" x14ac:dyDescent="0.3">
      <c r="A25" s="307" t="s">
        <v>56</v>
      </c>
      <c r="B25" s="308"/>
      <c r="C25" s="308"/>
      <c r="D25" s="308"/>
      <c r="E25" s="308"/>
      <c r="F25" s="308"/>
      <c r="G25" s="308"/>
      <c r="H25" s="308"/>
      <c r="I25" s="308"/>
      <c r="J25" s="308"/>
      <c r="K25" s="308"/>
      <c r="L25" s="308"/>
      <c r="M25" s="308"/>
      <c r="N25" s="308"/>
      <c r="O25" s="308"/>
      <c r="P25" s="308"/>
      <c r="Q25" s="309"/>
    </row>
    <row r="26" spans="1:20" ht="18.75" x14ac:dyDescent="0.2">
      <c r="A26" s="42"/>
      <c r="B26" s="42"/>
      <c r="C26" s="240">
        <v>0.5</v>
      </c>
      <c r="D26" s="240">
        <v>0.8</v>
      </c>
      <c r="E26" s="240">
        <v>1</v>
      </c>
      <c r="F26" s="240">
        <v>1.2</v>
      </c>
      <c r="G26" s="240">
        <v>1.5</v>
      </c>
      <c r="H26" s="240">
        <v>2</v>
      </c>
      <c r="I26" s="240">
        <v>2.5</v>
      </c>
      <c r="J26" s="240">
        <v>3</v>
      </c>
      <c r="K26" s="240">
        <v>4</v>
      </c>
      <c r="L26" s="240">
        <v>5</v>
      </c>
      <c r="M26" s="240">
        <v>6</v>
      </c>
      <c r="N26" s="240">
        <v>8</v>
      </c>
      <c r="O26" s="240">
        <v>10</v>
      </c>
      <c r="P26" s="240">
        <v>12</v>
      </c>
      <c r="Q26" s="240">
        <v>14</v>
      </c>
      <c r="R26" s="240">
        <v>16</v>
      </c>
      <c r="S26" s="240">
        <v>18</v>
      </c>
      <c r="T26" s="240">
        <v>20</v>
      </c>
    </row>
    <row r="27" spans="1:20" ht="18.75" x14ac:dyDescent="0.25">
      <c r="A27" s="86" t="s">
        <v>85</v>
      </c>
      <c r="B27" s="241">
        <v>1</v>
      </c>
      <c r="C27" s="55">
        <f>19*1.15</f>
        <v>21.849999999999998</v>
      </c>
      <c r="D27" s="55">
        <f>19*1.15</f>
        <v>21.849999999999998</v>
      </c>
      <c r="E27" s="55">
        <f t="shared" ref="E27:E29" si="1">19*1.15</f>
        <v>21.849999999999998</v>
      </c>
      <c r="F27" s="56">
        <f>21*1.15</f>
        <v>24.15</v>
      </c>
      <c r="G27" s="56">
        <f>23*1.15</f>
        <v>26.45</v>
      </c>
      <c r="H27" s="56">
        <f t="shared" ref="H27:H29" si="2">25*1.15</f>
        <v>28.749999999999996</v>
      </c>
      <c r="I27" s="56">
        <f>30*1.15</f>
        <v>34.5</v>
      </c>
      <c r="J27" s="56">
        <f>35*1.15</f>
        <v>40.25</v>
      </c>
      <c r="K27" s="56">
        <f>45*1.15</f>
        <v>51.749999999999993</v>
      </c>
      <c r="L27" s="56">
        <f>55*1.15</f>
        <v>63.249999999999993</v>
      </c>
      <c r="M27" s="56">
        <f>65*1.15</f>
        <v>74.75</v>
      </c>
      <c r="N27" s="56">
        <f>75*1.15</f>
        <v>86.25</v>
      </c>
      <c r="O27" s="56">
        <f>105*1.15</f>
        <v>120.74999999999999</v>
      </c>
      <c r="P27" s="56">
        <f>125*1.15</f>
        <v>143.75</v>
      </c>
      <c r="Q27" s="56">
        <f>150*1.15</f>
        <v>172.5</v>
      </c>
      <c r="R27" s="56">
        <f>175*1.15</f>
        <v>201.24999999999997</v>
      </c>
      <c r="S27" s="56">
        <f>250*1.15</f>
        <v>287.5</v>
      </c>
      <c r="T27" s="56">
        <f>300*1.15</f>
        <v>345</v>
      </c>
    </row>
    <row r="28" spans="1:20" ht="18.75" x14ac:dyDescent="0.25">
      <c r="A28" s="86" t="s">
        <v>86</v>
      </c>
      <c r="B28" s="241">
        <v>2</v>
      </c>
      <c r="C28" s="55">
        <f t="shared" ref="C28:D29" si="3">19*1.15</f>
        <v>21.849999999999998</v>
      </c>
      <c r="D28" s="55">
        <f t="shared" si="3"/>
        <v>21.849999999999998</v>
      </c>
      <c r="E28" s="55">
        <f t="shared" si="1"/>
        <v>21.849999999999998</v>
      </c>
      <c r="F28" s="56">
        <f t="shared" ref="F28:F29" si="4">21*1.15</f>
        <v>24.15</v>
      </c>
      <c r="G28" s="56">
        <f t="shared" ref="G28:G29" si="5">23*1.15</f>
        <v>26.45</v>
      </c>
      <c r="H28" s="56">
        <f t="shared" si="2"/>
        <v>28.749999999999996</v>
      </c>
      <c r="I28" s="56">
        <f t="shared" ref="I28:I29" si="6">30*1.15</f>
        <v>34.5</v>
      </c>
      <c r="J28" s="56">
        <f t="shared" ref="J28:J29" si="7">35*1.15</f>
        <v>40.25</v>
      </c>
      <c r="K28" s="56">
        <f t="shared" ref="K28:K29" si="8">45*1.15</f>
        <v>51.749999999999993</v>
      </c>
      <c r="L28" s="56">
        <f t="shared" ref="L28:L29" si="9">55*1.15</f>
        <v>63.249999999999993</v>
      </c>
      <c r="M28" s="56">
        <f t="shared" ref="M28:M29" si="10">65*1.15</f>
        <v>74.75</v>
      </c>
      <c r="N28" s="56">
        <f t="shared" ref="N28:N29" si="11">75*1.15</f>
        <v>86.25</v>
      </c>
      <c r="O28" s="56">
        <f t="shared" ref="O28:O29" si="12">105*1.15</f>
        <v>120.74999999999999</v>
      </c>
      <c r="P28" s="56">
        <f t="shared" ref="P28:P29" si="13">125*1.15</f>
        <v>143.75</v>
      </c>
      <c r="Q28" s="56">
        <f t="shared" ref="Q28:Q29" si="14">150*1.15</f>
        <v>172.5</v>
      </c>
      <c r="R28" s="56">
        <f t="shared" ref="R28:R29" si="15">175*1.15</f>
        <v>201.24999999999997</v>
      </c>
      <c r="S28" s="56">
        <f t="shared" ref="S28:S29" si="16">250*1.15</f>
        <v>287.5</v>
      </c>
      <c r="T28" s="56">
        <f t="shared" ref="T28:T29" si="17">300*1.15</f>
        <v>345</v>
      </c>
    </row>
    <row r="29" spans="1:20" ht="18.75" x14ac:dyDescent="0.25">
      <c r="A29" s="86" t="s">
        <v>88</v>
      </c>
      <c r="B29" s="241">
        <v>3</v>
      </c>
      <c r="C29" s="55">
        <f t="shared" si="3"/>
        <v>21.849999999999998</v>
      </c>
      <c r="D29" s="55">
        <f t="shared" si="3"/>
        <v>21.849999999999998</v>
      </c>
      <c r="E29" s="55">
        <f t="shared" si="1"/>
        <v>21.849999999999998</v>
      </c>
      <c r="F29" s="56">
        <f t="shared" si="4"/>
        <v>24.15</v>
      </c>
      <c r="G29" s="56">
        <f t="shared" si="5"/>
        <v>26.45</v>
      </c>
      <c r="H29" s="56">
        <f t="shared" si="2"/>
        <v>28.749999999999996</v>
      </c>
      <c r="I29" s="56">
        <f t="shared" si="6"/>
        <v>34.5</v>
      </c>
      <c r="J29" s="56">
        <f t="shared" si="7"/>
        <v>40.25</v>
      </c>
      <c r="K29" s="56">
        <f t="shared" si="8"/>
        <v>51.749999999999993</v>
      </c>
      <c r="L29" s="56">
        <f t="shared" si="9"/>
        <v>63.249999999999993</v>
      </c>
      <c r="M29" s="56">
        <f t="shared" si="10"/>
        <v>74.75</v>
      </c>
      <c r="N29" s="56">
        <f t="shared" si="11"/>
        <v>86.25</v>
      </c>
      <c r="O29" s="56">
        <f t="shared" si="12"/>
        <v>120.74999999999999</v>
      </c>
      <c r="P29" s="56">
        <f t="shared" si="13"/>
        <v>143.75</v>
      </c>
      <c r="Q29" s="56">
        <f t="shared" si="14"/>
        <v>172.5</v>
      </c>
      <c r="R29" s="56">
        <f t="shared" si="15"/>
        <v>201.24999999999997</v>
      </c>
      <c r="S29" s="56">
        <f t="shared" si="16"/>
        <v>287.5</v>
      </c>
      <c r="T29" s="56">
        <f t="shared" si="17"/>
        <v>345</v>
      </c>
    </row>
    <row r="30" spans="1:20" ht="18.75" x14ac:dyDescent="0.25">
      <c r="A30" s="215" t="s">
        <v>87</v>
      </c>
      <c r="B30" s="241">
        <v>4</v>
      </c>
      <c r="C30" s="55">
        <f>23*1.15</f>
        <v>26.45</v>
      </c>
      <c r="D30" s="55">
        <f>23*1.15</f>
        <v>26.45</v>
      </c>
      <c r="E30" s="55">
        <f t="shared" ref="E30:E32" si="18">23*1.15</f>
        <v>26.45</v>
      </c>
      <c r="F30" s="56">
        <f>25*1.15</f>
        <v>28.749999999999996</v>
      </c>
      <c r="G30" s="56">
        <f>25*1.15</f>
        <v>28.749999999999996</v>
      </c>
      <c r="H30" s="56">
        <f>35*1.15</f>
        <v>40.25</v>
      </c>
      <c r="I30" s="56">
        <f>50*1.15</f>
        <v>57.499999999999993</v>
      </c>
      <c r="J30" s="56">
        <f>50*1.15</f>
        <v>57.499999999999993</v>
      </c>
      <c r="K30" s="56">
        <f>65*1.15</f>
        <v>74.75</v>
      </c>
      <c r="L30" s="56">
        <f>85*1.15</f>
        <v>97.749999999999986</v>
      </c>
      <c r="M30" s="56">
        <f>110*1.15</f>
        <v>126.49999999999999</v>
      </c>
      <c r="N30" s="56">
        <f>130*1.15</f>
        <v>149.5</v>
      </c>
      <c r="O30" s="56">
        <f>300*1.15</f>
        <v>345</v>
      </c>
      <c r="P30" s="56">
        <f>300*1.15</f>
        <v>345</v>
      </c>
      <c r="Q30" s="56">
        <f>450*1.15</f>
        <v>517.5</v>
      </c>
      <c r="R30" s="56"/>
      <c r="S30" s="56"/>
      <c r="T30" s="56"/>
    </row>
    <row r="31" spans="1:20" ht="18.75" x14ac:dyDescent="0.25">
      <c r="A31" s="86" t="s">
        <v>89</v>
      </c>
      <c r="B31" s="241">
        <v>5</v>
      </c>
      <c r="C31" s="55"/>
      <c r="D31" s="56"/>
      <c r="E31" s="55">
        <f t="shared" si="18"/>
        <v>26.45</v>
      </c>
      <c r="F31" s="56"/>
      <c r="G31" s="56">
        <f>35*1.15</f>
        <v>40.25</v>
      </c>
      <c r="H31" s="56">
        <f>40*1.15</f>
        <v>46</v>
      </c>
      <c r="I31" s="56">
        <f t="shared" ref="I31:I33" si="19">50*1.15</f>
        <v>57.499999999999993</v>
      </c>
      <c r="J31" s="56">
        <f>55*1.15</f>
        <v>63.249999999999993</v>
      </c>
      <c r="K31" s="56">
        <f>80*1.15</f>
        <v>92</v>
      </c>
      <c r="L31" s="56">
        <f>105*1.15</f>
        <v>120.74999999999999</v>
      </c>
      <c r="M31" s="56">
        <f>125*1.15</f>
        <v>143.75</v>
      </c>
      <c r="N31" s="56">
        <f>225*1.15</f>
        <v>258.75</v>
      </c>
      <c r="O31" s="56">
        <f>450*1.15</f>
        <v>517.5</v>
      </c>
      <c r="P31" s="56">
        <f>500*1.15</f>
        <v>575</v>
      </c>
      <c r="Q31" s="56"/>
      <c r="R31" s="56"/>
      <c r="S31" s="56"/>
      <c r="T31" s="56"/>
    </row>
    <row r="32" spans="1:20" ht="18.75" x14ac:dyDescent="0.25">
      <c r="A32" s="86" t="s">
        <v>90</v>
      </c>
      <c r="B32" s="241">
        <v>6</v>
      </c>
      <c r="C32" s="55"/>
      <c r="D32" s="56"/>
      <c r="E32" s="55">
        <f t="shared" si="18"/>
        <v>26.45</v>
      </c>
      <c r="F32" s="56"/>
      <c r="G32" s="56">
        <f>35*1.15</f>
        <v>40.25</v>
      </c>
      <c r="H32" s="56">
        <f>40*1.15</f>
        <v>46</v>
      </c>
      <c r="I32" s="56">
        <f t="shared" si="19"/>
        <v>57.499999999999993</v>
      </c>
      <c r="J32" s="56">
        <f>55*1.15</f>
        <v>63.249999999999993</v>
      </c>
      <c r="K32" s="56">
        <f t="shared" ref="K32" si="20">80*1.15</f>
        <v>92</v>
      </c>
      <c r="L32" s="56">
        <f>105*1.15</f>
        <v>120.74999999999999</v>
      </c>
      <c r="M32" s="56">
        <f>125*1.15</f>
        <v>143.75</v>
      </c>
      <c r="N32" s="56">
        <f>225*1.15</f>
        <v>258.75</v>
      </c>
      <c r="O32" s="56">
        <f>450*1.15</f>
        <v>517.5</v>
      </c>
      <c r="P32" s="56">
        <f>500*1.15</f>
        <v>575</v>
      </c>
      <c r="Q32" s="56"/>
      <c r="R32" s="56"/>
      <c r="S32" s="56"/>
      <c r="T32" s="56"/>
    </row>
    <row r="33" spans="1:20" ht="18.75" x14ac:dyDescent="0.25">
      <c r="A33" s="86" t="s">
        <v>91</v>
      </c>
      <c r="B33" s="241">
        <v>7</v>
      </c>
      <c r="C33" s="55">
        <f t="shared" ref="C33:E33" si="21">23*1.15</f>
        <v>26.45</v>
      </c>
      <c r="D33" s="55">
        <f t="shared" si="21"/>
        <v>26.45</v>
      </c>
      <c r="E33" s="55">
        <f t="shared" si="21"/>
        <v>26.45</v>
      </c>
      <c r="F33" s="56">
        <f>25*1.15</f>
        <v>28.749999999999996</v>
      </c>
      <c r="G33" s="56">
        <f>25*1.15</f>
        <v>28.749999999999996</v>
      </c>
      <c r="H33" s="56">
        <f>35*1.15</f>
        <v>40.25</v>
      </c>
      <c r="I33" s="56">
        <f t="shared" si="19"/>
        <v>57.499999999999993</v>
      </c>
      <c r="J33" s="56">
        <f>50*1.15</f>
        <v>57.499999999999993</v>
      </c>
      <c r="K33" s="56">
        <f>65*1.15</f>
        <v>74.75</v>
      </c>
      <c r="L33" s="56">
        <f>85*1.15</f>
        <v>97.749999999999986</v>
      </c>
      <c r="M33" s="56">
        <f>110*1.15</f>
        <v>126.49999999999999</v>
      </c>
      <c r="N33" s="56">
        <f>130*1.15</f>
        <v>149.5</v>
      </c>
      <c r="O33" s="56">
        <f>300*1.15</f>
        <v>345</v>
      </c>
      <c r="P33" s="56">
        <f>300*1.15</f>
        <v>345</v>
      </c>
      <c r="Q33" s="56">
        <f>450*1.15</f>
        <v>517.5</v>
      </c>
      <c r="R33" s="56"/>
      <c r="S33" s="56"/>
      <c r="T33" s="56"/>
    </row>
    <row r="34" spans="1:20" ht="18.75" x14ac:dyDescent="0.25">
      <c r="A34" s="86" t="s">
        <v>54</v>
      </c>
      <c r="B34" s="241">
        <v>8</v>
      </c>
      <c r="C34" s="55"/>
      <c r="D34" s="56"/>
      <c r="E34" s="56"/>
      <c r="F34" s="56"/>
      <c r="G34" s="56"/>
      <c r="H34" s="56"/>
      <c r="I34" s="56"/>
      <c r="J34" s="56"/>
      <c r="K34" s="56"/>
      <c r="L34" s="56"/>
      <c r="M34" s="56"/>
      <c r="N34" s="56"/>
      <c r="O34" s="56"/>
      <c r="P34" s="56"/>
      <c r="Q34" s="56"/>
      <c r="R34" s="56"/>
      <c r="S34" s="56"/>
      <c r="T34" s="56"/>
    </row>
    <row r="37" spans="1:20" x14ac:dyDescent="0.2">
      <c r="A37" s="87"/>
      <c r="B37" s="87"/>
      <c r="C37" s="87"/>
    </row>
    <row r="38" spans="1:20" x14ac:dyDescent="0.2">
      <c r="A38" s="87"/>
      <c r="B38" s="87"/>
      <c r="C38" s="87"/>
    </row>
    <row r="39" spans="1:20" x14ac:dyDescent="0.2">
      <c r="A39" s="87"/>
      <c r="B39" s="87"/>
      <c r="C39" s="87"/>
    </row>
    <row r="40" spans="1:20" x14ac:dyDescent="0.2">
      <c r="A40" s="87"/>
      <c r="B40" s="87"/>
      <c r="C40" s="87"/>
    </row>
    <row r="41" spans="1:20" x14ac:dyDescent="0.2">
      <c r="A41" s="87"/>
      <c r="B41" s="87"/>
      <c r="C41" s="87"/>
    </row>
    <row r="42" spans="1:20" x14ac:dyDescent="0.2">
      <c r="A42" s="87"/>
      <c r="B42" s="87"/>
      <c r="C42" s="87"/>
    </row>
    <row r="43" spans="1:20" x14ac:dyDescent="0.2">
      <c r="A43" s="87"/>
      <c r="B43" s="87"/>
      <c r="C43" s="88"/>
    </row>
    <row r="44" spans="1:20" x14ac:dyDescent="0.2">
      <c r="A44" s="89"/>
      <c r="B44" s="89"/>
      <c r="C44" s="89"/>
    </row>
    <row r="200" spans="13:13" x14ac:dyDescent="0.2">
      <c r="M200" s="37">
        <v>94</v>
      </c>
    </row>
  </sheetData>
  <mergeCells count="5">
    <mergeCell ref="I1:J2"/>
    <mergeCell ref="X1:AA16"/>
    <mergeCell ref="E2:G2"/>
    <mergeCell ref="A25:Q25"/>
    <mergeCell ref="L1:M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G50"/>
  <sheetViews>
    <sheetView tabSelected="1" topLeftCell="A7" zoomScaleNormal="100" zoomScaleSheetLayoutView="55" workbookViewId="0">
      <selection activeCell="D25" sqref="D25"/>
    </sheetView>
  </sheetViews>
  <sheetFormatPr defaultRowHeight="12.75" outlineLevelCol="4" x14ac:dyDescent="0.2"/>
  <cols>
    <col min="1" max="1" width="4.6640625" style="113" customWidth="1"/>
    <col min="2" max="2" width="40.33203125" style="113" customWidth="1"/>
    <col min="3" max="3" width="21.1640625" style="113" customWidth="1"/>
    <col min="4" max="4" width="11.6640625" style="113" customWidth="1"/>
    <col min="5" max="5" width="13.1640625" style="113" customWidth="1"/>
    <col min="6" max="6" width="9.83203125" style="113" customWidth="1"/>
    <col min="7" max="7" width="10.1640625" style="113" customWidth="1"/>
    <col min="8" max="8" width="17.83203125" style="113" customWidth="1"/>
    <col min="9" max="9" width="14.83203125" style="113" customWidth="1"/>
    <col min="10" max="10" width="15.5" style="113" customWidth="1"/>
    <col min="11" max="11" width="15.83203125" style="113" customWidth="1"/>
    <col min="12" max="12" width="19.1640625" style="113" customWidth="1"/>
    <col min="13" max="13" width="12.6640625" style="113" hidden="1" customWidth="1" outlineLevel="4"/>
    <col min="14" max="14" width="13.83203125" style="113" hidden="1" customWidth="1" outlineLevel="4"/>
    <col min="15" max="15" width="13" style="113" hidden="1" customWidth="1" outlineLevel="4"/>
    <col min="16" max="16" width="11.33203125" style="113" hidden="1" customWidth="1" outlineLevel="4"/>
    <col min="17" max="17" width="11.33203125" style="113" hidden="1" customWidth="1" outlineLevel="3" collapsed="1"/>
    <col min="18" max="20" width="11.33203125" style="113" hidden="1" customWidth="1" outlineLevel="3"/>
    <col min="21" max="21" width="11.33203125" style="113" hidden="1" customWidth="1" outlineLevel="2" collapsed="1"/>
    <col min="22" max="24" width="11.33203125" style="113" hidden="1" customWidth="1" outlineLevel="2"/>
    <col min="25" max="25" width="12.33203125" style="113" customWidth="1" outlineLevel="1" collapsed="1"/>
    <col min="26" max="26" width="14.33203125" style="113" customWidth="1" outlineLevel="1"/>
    <col min="27" max="27" width="12.1640625" style="113" customWidth="1" outlineLevel="1"/>
    <col min="28" max="28" width="9.5" style="113" customWidth="1" outlineLevel="1"/>
    <col min="29" max="29" width="1" style="113" customWidth="1"/>
    <col min="30" max="37" width="3.6640625" style="113" customWidth="1" outlineLevel="1"/>
    <col min="38" max="38" width="4.6640625" style="113" bestFit="1" customWidth="1" outlineLevel="1"/>
    <col min="39" max="83" width="3.6640625" style="113" customWidth="1" outlineLevel="1"/>
    <col min="84" max="84" width="13.6640625" style="113" customWidth="1"/>
    <col min="85" max="85" width="10.83203125" style="113" customWidth="1"/>
    <col min="86" max="256" width="9.33203125" style="113"/>
    <col min="257" max="257" width="4.6640625" style="113" customWidth="1"/>
    <col min="258" max="258" width="40.33203125" style="113" customWidth="1"/>
    <col min="259" max="259" width="21.1640625" style="113" customWidth="1"/>
    <col min="260" max="260" width="11.6640625" style="113" customWidth="1"/>
    <col min="261" max="261" width="13.1640625" style="113" customWidth="1"/>
    <col min="262" max="262" width="9.83203125" style="113" customWidth="1"/>
    <col min="263" max="263" width="10.1640625" style="113" customWidth="1"/>
    <col min="264" max="264" width="17.83203125" style="113" customWidth="1"/>
    <col min="265" max="265" width="14.83203125" style="113" customWidth="1"/>
    <col min="266" max="266" width="15.5" style="113" customWidth="1"/>
    <col min="267" max="267" width="15.83203125" style="113" customWidth="1"/>
    <col min="268" max="268" width="19.1640625" style="113" customWidth="1"/>
    <col min="269" max="280" width="0" style="113" hidden="1" customWidth="1"/>
    <col min="281" max="281" width="12.33203125" style="113" customWidth="1"/>
    <col min="282" max="282" width="14.33203125" style="113" customWidth="1"/>
    <col min="283" max="283" width="12.1640625" style="113" customWidth="1"/>
    <col min="284" max="284" width="9.5" style="113" customWidth="1"/>
    <col min="285" max="285" width="1" style="113" customWidth="1"/>
    <col min="286" max="293" width="3.6640625" style="113" customWidth="1"/>
    <col min="294" max="294" width="4.6640625" style="113" bestFit="1" customWidth="1"/>
    <col min="295" max="339" width="3.6640625" style="113" customWidth="1"/>
    <col min="340" max="340" width="13.6640625" style="113" customWidth="1"/>
    <col min="341" max="341" width="10.83203125" style="113" customWidth="1"/>
    <col min="342" max="512" width="9.33203125" style="113"/>
    <col min="513" max="513" width="4.6640625" style="113" customWidth="1"/>
    <col min="514" max="514" width="40.33203125" style="113" customWidth="1"/>
    <col min="515" max="515" width="21.1640625" style="113" customWidth="1"/>
    <col min="516" max="516" width="11.6640625" style="113" customWidth="1"/>
    <col min="517" max="517" width="13.1640625" style="113" customWidth="1"/>
    <col min="518" max="518" width="9.83203125" style="113" customWidth="1"/>
    <col min="519" max="519" width="10.1640625" style="113" customWidth="1"/>
    <col min="520" max="520" width="17.83203125" style="113" customWidth="1"/>
    <col min="521" max="521" width="14.83203125" style="113" customWidth="1"/>
    <col min="522" max="522" width="15.5" style="113" customWidth="1"/>
    <col min="523" max="523" width="15.83203125" style="113" customWidth="1"/>
    <col min="524" max="524" width="19.1640625" style="113" customWidth="1"/>
    <col min="525" max="536" width="0" style="113" hidden="1" customWidth="1"/>
    <col min="537" max="537" width="12.33203125" style="113" customWidth="1"/>
    <col min="538" max="538" width="14.33203125" style="113" customWidth="1"/>
    <col min="539" max="539" width="12.1640625" style="113" customWidth="1"/>
    <col min="540" max="540" width="9.5" style="113" customWidth="1"/>
    <col min="541" max="541" width="1" style="113" customWidth="1"/>
    <col min="542" max="549" width="3.6640625" style="113" customWidth="1"/>
    <col min="550" max="550" width="4.6640625" style="113" bestFit="1" customWidth="1"/>
    <col min="551" max="595" width="3.6640625" style="113" customWidth="1"/>
    <col min="596" max="596" width="13.6640625" style="113" customWidth="1"/>
    <col min="597" max="597" width="10.83203125" style="113" customWidth="1"/>
    <col min="598" max="768" width="9.33203125" style="113"/>
    <col min="769" max="769" width="4.6640625" style="113" customWidth="1"/>
    <col min="770" max="770" width="40.33203125" style="113" customWidth="1"/>
    <col min="771" max="771" width="21.1640625" style="113" customWidth="1"/>
    <col min="772" max="772" width="11.6640625" style="113" customWidth="1"/>
    <col min="773" max="773" width="13.1640625" style="113" customWidth="1"/>
    <col min="774" max="774" width="9.83203125" style="113" customWidth="1"/>
    <col min="775" max="775" width="10.1640625" style="113" customWidth="1"/>
    <col min="776" max="776" width="17.83203125" style="113" customWidth="1"/>
    <col min="777" max="777" width="14.83203125" style="113" customWidth="1"/>
    <col min="778" max="778" width="15.5" style="113" customWidth="1"/>
    <col min="779" max="779" width="15.83203125" style="113" customWidth="1"/>
    <col min="780" max="780" width="19.1640625" style="113" customWidth="1"/>
    <col min="781" max="792" width="0" style="113" hidden="1" customWidth="1"/>
    <col min="793" max="793" width="12.33203125" style="113" customWidth="1"/>
    <col min="794" max="794" width="14.33203125" style="113" customWidth="1"/>
    <col min="795" max="795" width="12.1640625" style="113" customWidth="1"/>
    <col min="796" max="796" width="9.5" style="113" customWidth="1"/>
    <col min="797" max="797" width="1" style="113" customWidth="1"/>
    <col min="798" max="805" width="3.6640625" style="113" customWidth="1"/>
    <col min="806" max="806" width="4.6640625" style="113" bestFit="1" customWidth="1"/>
    <col min="807" max="851" width="3.6640625" style="113" customWidth="1"/>
    <col min="852" max="852" width="13.6640625" style="113" customWidth="1"/>
    <col min="853" max="853" width="10.83203125" style="113" customWidth="1"/>
    <col min="854" max="1024" width="9.33203125" style="113"/>
    <col min="1025" max="1025" width="4.6640625" style="113" customWidth="1"/>
    <col min="1026" max="1026" width="40.33203125" style="113" customWidth="1"/>
    <col min="1027" max="1027" width="21.1640625" style="113" customWidth="1"/>
    <col min="1028" max="1028" width="11.6640625" style="113" customWidth="1"/>
    <col min="1029" max="1029" width="13.1640625" style="113" customWidth="1"/>
    <col min="1030" max="1030" width="9.83203125" style="113" customWidth="1"/>
    <col min="1031" max="1031" width="10.1640625" style="113" customWidth="1"/>
    <col min="1032" max="1032" width="17.83203125" style="113" customWidth="1"/>
    <col min="1033" max="1033" width="14.83203125" style="113" customWidth="1"/>
    <col min="1034" max="1034" width="15.5" style="113" customWidth="1"/>
    <col min="1035" max="1035" width="15.83203125" style="113" customWidth="1"/>
    <col min="1036" max="1036" width="19.1640625" style="113" customWidth="1"/>
    <col min="1037" max="1048" width="0" style="113" hidden="1" customWidth="1"/>
    <col min="1049" max="1049" width="12.33203125" style="113" customWidth="1"/>
    <col min="1050" max="1050" width="14.33203125" style="113" customWidth="1"/>
    <col min="1051" max="1051" width="12.1640625" style="113" customWidth="1"/>
    <col min="1052" max="1052" width="9.5" style="113" customWidth="1"/>
    <col min="1053" max="1053" width="1" style="113" customWidth="1"/>
    <col min="1054" max="1061" width="3.6640625" style="113" customWidth="1"/>
    <col min="1062" max="1062" width="4.6640625" style="113" bestFit="1" customWidth="1"/>
    <col min="1063" max="1107" width="3.6640625" style="113" customWidth="1"/>
    <col min="1108" max="1108" width="13.6640625" style="113" customWidth="1"/>
    <col min="1109" max="1109" width="10.83203125" style="113" customWidth="1"/>
    <col min="1110" max="1280" width="9.33203125" style="113"/>
    <col min="1281" max="1281" width="4.6640625" style="113" customWidth="1"/>
    <col min="1282" max="1282" width="40.33203125" style="113" customWidth="1"/>
    <col min="1283" max="1283" width="21.1640625" style="113" customWidth="1"/>
    <col min="1284" max="1284" width="11.6640625" style="113" customWidth="1"/>
    <col min="1285" max="1285" width="13.1640625" style="113" customWidth="1"/>
    <col min="1286" max="1286" width="9.83203125" style="113" customWidth="1"/>
    <col min="1287" max="1287" width="10.1640625" style="113" customWidth="1"/>
    <col min="1288" max="1288" width="17.83203125" style="113" customWidth="1"/>
    <col min="1289" max="1289" width="14.83203125" style="113" customWidth="1"/>
    <col min="1290" max="1290" width="15.5" style="113" customWidth="1"/>
    <col min="1291" max="1291" width="15.83203125" style="113" customWidth="1"/>
    <col min="1292" max="1292" width="19.1640625" style="113" customWidth="1"/>
    <col min="1293" max="1304" width="0" style="113" hidden="1" customWidth="1"/>
    <col min="1305" max="1305" width="12.33203125" style="113" customWidth="1"/>
    <col min="1306" max="1306" width="14.33203125" style="113" customWidth="1"/>
    <col min="1307" max="1307" width="12.1640625" style="113" customWidth="1"/>
    <col min="1308" max="1308" width="9.5" style="113" customWidth="1"/>
    <col min="1309" max="1309" width="1" style="113" customWidth="1"/>
    <col min="1310" max="1317" width="3.6640625" style="113" customWidth="1"/>
    <col min="1318" max="1318" width="4.6640625" style="113" bestFit="1" customWidth="1"/>
    <col min="1319" max="1363" width="3.6640625" style="113" customWidth="1"/>
    <col min="1364" max="1364" width="13.6640625" style="113" customWidth="1"/>
    <col min="1365" max="1365" width="10.83203125" style="113" customWidth="1"/>
    <col min="1366" max="1536" width="9.33203125" style="113"/>
    <col min="1537" max="1537" width="4.6640625" style="113" customWidth="1"/>
    <col min="1538" max="1538" width="40.33203125" style="113" customWidth="1"/>
    <col min="1539" max="1539" width="21.1640625" style="113" customWidth="1"/>
    <col min="1540" max="1540" width="11.6640625" style="113" customWidth="1"/>
    <col min="1541" max="1541" width="13.1640625" style="113" customWidth="1"/>
    <col min="1542" max="1542" width="9.83203125" style="113" customWidth="1"/>
    <col min="1543" max="1543" width="10.1640625" style="113" customWidth="1"/>
    <col min="1544" max="1544" width="17.83203125" style="113" customWidth="1"/>
    <col min="1545" max="1545" width="14.83203125" style="113" customWidth="1"/>
    <col min="1546" max="1546" width="15.5" style="113" customWidth="1"/>
    <col min="1547" max="1547" width="15.83203125" style="113" customWidth="1"/>
    <col min="1548" max="1548" width="19.1640625" style="113" customWidth="1"/>
    <col min="1549" max="1560" width="0" style="113" hidden="1" customWidth="1"/>
    <col min="1561" max="1561" width="12.33203125" style="113" customWidth="1"/>
    <col min="1562" max="1562" width="14.33203125" style="113" customWidth="1"/>
    <col min="1563" max="1563" width="12.1640625" style="113" customWidth="1"/>
    <col min="1564" max="1564" width="9.5" style="113" customWidth="1"/>
    <col min="1565" max="1565" width="1" style="113" customWidth="1"/>
    <col min="1566" max="1573" width="3.6640625" style="113" customWidth="1"/>
    <col min="1574" max="1574" width="4.6640625" style="113" bestFit="1" customWidth="1"/>
    <col min="1575" max="1619" width="3.6640625" style="113" customWidth="1"/>
    <col min="1620" max="1620" width="13.6640625" style="113" customWidth="1"/>
    <col min="1621" max="1621" width="10.83203125" style="113" customWidth="1"/>
    <col min="1622" max="1792" width="9.33203125" style="113"/>
    <col min="1793" max="1793" width="4.6640625" style="113" customWidth="1"/>
    <col min="1794" max="1794" width="40.33203125" style="113" customWidth="1"/>
    <col min="1795" max="1795" width="21.1640625" style="113" customWidth="1"/>
    <col min="1796" max="1796" width="11.6640625" style="113" customWidth="1"/>
    <col min="1797" max="1797" width="13.1640625" style="113" customWidth="1"/>
    <col min="1798" max="1798" width="9.83203125" style="113" customWidth="1"/>
    <col min="1799" max="1799" width="10.1640625" style="113" customWidth="1"/>
    <col min="1800" max="1800" width="17.83203125" style="113" customWidth="1"/>
    <col min="1801" max="1801" width="14.83203125" style="113" customWidth="1"/>
    <col min="1802" max="1802" width="15.5" style="113" customWidth="1"/>
    <col min="1803" max="1803" width="15.83203125" style="113" customWidth="1"/>
    <col min="1804" max="1804" width="19.1640625" style="113" customWidth="1"/>
    <col min="1805" max="1816" width="0" style="113" hidden="1" customWidth="1"/>
    <col min="1817" max="1817" width="12.33203125" style="113" customWidth="1"/>
    <col min="1818" max="1818" width="14.33203125" style="113" customWidth="1"/>
    <col min="1819" max="1819" width="12.1640625" style="113" customWidth="1"/>
    <col min="1820" max="1820" width="9.5" style="113" customWidth="1"/>
    <col min="1821" max="1821" width="1" style="113" customWidth="1"/>
    <col min="1822" max="1829" width="3.6640625" style="113" customWidth="1"/>
    <col min="1830" max="1830" width="4.6640625" style="113" bestFit="1" customWidth="1"/>
    <col min="1831" max="1875" width="3.6640625" style="113" customWidth="1"/>
    <col min="1876" max="1876" width="13.6640625" style="113" customWidth="1"/>
    <col min="1877" max="1877" width="10.83203125" style="113" customWidth="1"/>
    <col min="1878" max="2048" width="9.33203125" style="113"/>
    <col min="2049" max="2049" width="4.6640625" style="113" customWidth="1"/>
    <col min="2050" max="2050" width="40.33203125" style="113" customWidth="1"/>
    <col min="2051" max="2051" width="21.1640625" style="113" customWidth="1"/>
    <col min="2052" max="2052" width="11.6640625" style="113" customWidth="1"/>
    <col min="2053" max="2053" width="13.1640625" style="113" customWidth="1"/>
    <col min="2054" max="2054" width="9.83203125" style="113" customWidth="1"/>
    <col min="2055" max="2055" width="10.1640625" style="113" customWidth="1"/>
    <col min="2056" max="2056" width="17.83203125" style="113" customWidth="1"/>
    <col min="2057" max="2057" width="14.83203125" style="113" customWidth="1"/>
    <col min="2058" max="2058" width="15.5" style="113" customWidth="1"/>
    <col min="2059" max="2059" width="15.83203125" style="113" customWidth="1"/>
    <col min="2060" max="2060" width="19.1640625" style="113" customWidth="1"/>
    <col min="2061" max="2072" width="0" style="113" hidden="1" customWidth="1"/>
    <col min="2073" max="2073" width="12.33203125" style="113" customWidth="1"/>
    <col min="2074" max="2074" width="14.33203125" style="113" customWidth="1"/>
    <col min="2075" max="2075" width="12.1640625" style="113" customWidth="1"/>
    <col min="2076" max="2076" width="9.5" style="113" customWidth="1"/>
    <col min="2077" max="2077" width="1" style="113" customWidth="1"/>
    <col min="2078" max="2085" width="3.6640625" style="113" customWidth="1"/>
    <col min="2086" max="2086" width="4.6640625" style="113" bestFit="1" customWidth="1"/>
    <col min="2087" max="2131" width="3.6640625" style="113" customWidth="1"/>
    <col min="2132" max="2132" width="13.6640625" style="113" customWidth="1"/>
    <col min="2133" max="2133" width="10.83203125" style="113" customWidth="1"/>
    <col min="2134" max="2304" width="9.33203125" style="113"/>
    <col min="2305" max="2305" width="4.6640625" style="113" customWidth="1"/>
    <col min="2306" max="2306" width="40.33203125" style="113" customWidth="1"/>
    <col min="2307" max="2307" width="21.1640625" style="113" customWidth="1"/>
    <col min="2308" max="2308" width="11.6640625" style="113" customWidth="1"/>
    <col min="2309" max="2309" width="13.1640625" style="113" customWidth="1"/>
    <col min="2310" max="2310" width="9.83203125" style="113" customWidth="1"/>
    <col min="2311" max="2311" width="10.1640625" style="113" customWidth="1"/>
    <col min="2312" max="2312" width="17.83203125" style="113" customWidth="1"/>
    <col min="2313" max="2313" width="14.83203125" style="113" customWidth="1"/>
    <col min="2314" max="2314" width="15.5" style="113" customWidth="1"/>
    <col min="2315" max="2315" width="15.83203125" style="113" customWidth="1"/>
    <col min="2316" max="2316" width="19.1640625" style="113" customWidth="1"/>
    <col min="2317" max="2328" width="0" style="113" hidden="1" customWidth="1"/>
    <col min="2329" max="2329" width="12.33203125" style="113" customWidth="1"/>
    <col min="2330" max="2330" width="14.33203125" style="113" customWidth="1"/>
    <col min="2331" max="2331" width="12.1640625" style="113" customWidth="1"/>
    <col min="2332" max="2332" width="9.5" style="113" customWidth="1"/>
    <col min="2333" max="2333" width="1" style="113" customWidth="1"/>
    <col min="2334" max="2341" width="3.6640625" style="113" customWidth="1"/>
    <col min="2342" max="2342" width="4.6640625" style="113" bestFit="1" customWidth="1"/>
    <col min="2343" max="2387" width="3.6640625" style="113" customWidth="1"/>
    <col min="2388" max="2388" width="13.6640625" style="113" customWidth="1"/>
    <col min="2389" max="2389" width="10.83203125" style="113" customWidth="1"/>
    <col min="2390" max="2560" width="9.33203125" style="113"/>
    <col min="2561" max="2561" width="4.6640625" style="113" customWidth="1"/>
    <col min="2562" max="2562" width="40.33203125" style="113" customWidth="1"/>
    <col min="2563" max="2563" width="21.1640625" style="113" customWidth="1"/>
    <col min="2564" max="2564" width="11.6640625" style="113" customWidth="1"/>
    <col min="2565" max="2565" width="13.1640625" style="113" customWidth="1"/>
    <col min="2566" max="2566" width="9.83203125" style="113" customWidth="1"/>
    <col min="2567" max="2567" width="10.1640625" style="113" customWidth="1"/>
    <col min="2568" max="2568" width="17.83203125" style="113" customWidth="1"/>
    <col min="2569" max="2569" width="14.83203125" style="113" customWidth="1"/>
    <col min="2570" max="2570" width="15.5" style="113" customWidth="1"/>
    <col min="2571" max="2571" width="15.83203125" style="113" customWidth="1"/>
    <col min="2572" max="2572" width="19.1640625" style="113" customWidth="1"/>
    <col min="2573" max="2584" width="0" style="113" hidden="1" customWidth="1"/>
    <col min="2585" max="2585" width="12.33203125" style="113" customWidth="1"/>
    <col min="2586" max="2586" width="14.33203125" style="113" customWidth="1"/>
    <col min="2587" max="2587" width="12.1640625" style="113" customWidth="1"/>
    <col min="2588" max="2588" width="9.5" style="113" customWidth="1"/>
    <col min="2589" max="2589" width="1" style="113" customWidth="1"/>
    <col min="2590" max="2597" width="3.6640625" style="113" customWidth="1"/>
    <col min="2598" max="2598" width="4.6640625" style="113" bestFit="1" customWidth="1"/>
    <col min="2599" max="2643" width="3.6640625" style="113" customWidth="1"/>
    <col min="2644" max="2644" width="13.6640625" style="113" customWidth="1"/>
    <col min="2645" max="2645" width="10.83203125" style="113" customWidth="1"/>
    <col min="2646" max="2816" width="9.33203125" style="113"/>
    <col min="2817" max="2817" width="4.6640625" style="113" customWidth="1"/>
    <col min="2818" max="2818" width="40.33203125" style="113" customWidth="1"/>
    <col min="2819" max="2819" width="21.1640625" style="113" customWidth="1"/>
    <col min="2820" max="2820" width="11.6640625" style="113" customWidth="1"/>
    <col min="2821" max="2821" width="13.1640625" style="113" customWidth="1"/>
    <col min="2822" max="2822" width="9.83203125" style="113" customWidth="1"/>
    <col min="2823" max="2823" width="10.1640625" style="113" customWidth="1"/>
    <col min="2824" max="2824" width="17.83203125" style="113" customWidth="1"/>
    <col min="2825" max="2825" width="14.83203125" style="113" customWidth="1"/>
    <col min="2826" max="2826" width="15.5" style="113" customWidth="1"/>
    <col min="2827" max="2827" width="15.83203125" style="113" customWidth="1"/>
    <col min="2828" max="2828" width="19.1640625" style="113" customWidth="1"/>
    <col min="2829" max="2840" width="0" style="113" hidden="1" customWidth="1"/>
    <col min="2841" max="2841" width="12.33203125" style="113" customWidth="1"/>
    <col min="2842" max="2842" width="14.33203125" style="113" customWidth="1"/>
    <col min="2843" max="2843" width="12.1640625" style="113" customWidth="1"/>
    <col min="2844" max="2844" width="9.5" style="113" customWidth="1"/>
    <col min="2845" max="2845" width="1" style="113" customWidth="1"/>
    <col min="2846" max="2853" width="3.6640625" style="113" customWidth="1"/>
    <col min="2854" max="2854" width="4.6640625" style="113" bestFit="1" customWidth="1"/>
    <col min="2855" max="2899" width="3.6640625" style="113" customWidth="1"/>
    <col min="2900" max="2900" width="13.6640625" style="113" customWidth="1"/>
    <col min="2901" max="2901" width="10.83203125" style="113" customWidth="1"/>
    <col min="2902" max="3072" width="9.33203125" style="113"/>
    <col min="3073" max="3073" width="4.6640625" style="113" customWidth="1"/>
    <col min="3074" max="3074" width="40.33203125" style="113" customWidth="1"/>
    <col min="3075" max="3075" width="21.1640625" style="113" customWidth="1"/>
    <col min="3076" max="3076" width="11.6640625" style="113" customWidth="1"/>
    <col min="3077" max="3077" width="13.1640625" style="113" customWidth="1"/>
    <col min="3078" max="3078" width="9.83203125" style="113" customWidth="1"/>
    <col min="3079" max="3079" width="10.1640625" style="113" customWidth="1"/>
    <col min="3080" max="3080" width="17.83203125" style="113" customWidth="1"/>
    <col min="3081" max="3081" width="14.83203125" style="113" customWidth="1"/>
    <col min="3082" max="3082" width="15.5" style="113" customWidth="1"/>
    <col min="3083" max="3083" width="15.83203125" style="113" customWidth="1"/>
    <col min="3084" max="3084" width="19.1640625" style="113" customWidth="1"/>
    <col min="3085" max="3096" width="0" style="113" hidden="1" customWidth="1"/>
    <col min="3097" max="3097" width="12.33203125" style="113" customWidth="1"/>
    <col min="3098" max="3098" width="14.33203125" style="113" customWidth="1"/>
    <col min="3099" max="3099" width="12.1640625" style="113" customWidth="1"/>
    <col min="3100" max="3100" width="9.5" style="113" customWidth="1"/>
    <col min="3101" max="3101" width="1" style="113" customWidth="1"/>
    <col min="3102" max="3109" width="3.6640625" style="113" customWidth="1"/>
    <col min="3110" max="3110" width="4.6640625" style="113" bestFit="1" customWidth="1"/>
    <col min="3111" max="3155" width="3.6640625" style="113" customWidth="1"/>
    <col min="3156" max="3156" width="13.6640625" style="113" customWidth="1"/>
    <col min="3157" max="3157" width="10.83203125" style="113" customWidth="1"/>
    <col min="3158" max="3328" width="9.33203125" style="113"/>
    <col min="3329" max="3329" width="4.6640625" style="113" customWidth="1"/>
    <col min="3330" max="3330" width="40.33203125" style="113" customWidth="1"/>
    <col min="3331" max="3331" width="21.1640625" style="113" customWidth="1"/>
    <col min="3332" max="3332" width="11.6640625" style="113" customWidth="1"/>
    <col min="3333" max="3333" width="13.1640625" style="113" customWidth="1"/>
    <col min="3334" max="3334" width="9.83203125" style="113" customWidth="1"/>
    <col min="3335" max="3335" width="10.1640625" style="113" customWidth="1"/>
    <col min="3336" max="3336" width="17.83203125" style="113" customWidth="1"/>
    <col min="3337" max="3337" width="14.83203125" style="113" customWidth="1"/>
    <col min="3338" max="3338" width="15.5" style="113" customWidth="1"/>
    <col min="3339" max="3339" width="15.83203125" style="113" customWidth="1"/>
    <col min="3340" max="3340" width="19.1640625" style="113" customWidth="1"/>
    <col min="3341" max="3352" width="0" style="113" hidden="1" customWidth="1"/>
    <col min="3353" max="3353" width="12.33203125" style="113" customWidth="1"/>
    <col min="3354" max="3354" width="14.33203125" style="113" customWidth="1"/>
    <col min="3355" max="3355" width="12.1640625" style="113" customWidth="1"/>
    <col min="3356" max="3356" width="9.5" style="113" customWidth="1"/>
    <col min="3357" max="3357" width="1" style="113" customWidth="1"/>
    <col min="3358" max="3365" width="3.6640625" style="113" customWidth="1"/>
    <col min="3366" max="3366" width="4.6640625" style="113" bestFit="1" customWidth="1"/>
    <col min="3367" max="3411" width="3.6640625" style="113" customWidth="1"/>
    <col min="3412" max="3412" width="13.6640625" style="113" customWidth="1"/>
    <col min="3413" max="3413" width="10.83203125" style="113" customWidth="1"/>
    <col min="3414" max="3584" width="9.33203125" style="113"/>
    <col min="3585" max="3585" width="4.6640625" style="113" customWidth="1"/>
    <col min="3586" max="3586" width="40.33203125" style="113" customWidth="1"/>
    <col min="3587" max="3587" width="21.1640625" style="113" customWidth="1"/>
    <col min="3588" max="3588" width="11.6640625" style="113" customWidth="1"/>
    <col min="3589" max="3589" width="13.1640625" style="113" customWidth="1"/>
    <col min="3590" max="3590" width="9.83203125" style="113" customWidth="1"/>
    <col min="3591" max="3591" width="10.1640625" style="113" customWidth="1"/>
    <col min="3592" max="3592" width="17.83203125" style="113" customWidth="1"/>
    <col min="3593" max="3593" width="14.83203125" style="113" customWidth="1"/>
    <col min="3594" max="3594" width="15.5" style="113" customWidth="1"/>
    <col min="3595" max="3595" width="15.83203125" style="113" customWidth="1"/>
    <col min="3596" max="3596" width="19.1640625" style="113" customWidth="1"/>
    <col min="3597" max="3608" width="0" style="113" hidden="1" customWidth="1"/>
    <col min="3609" max="3609" width="12.33203125" style="113" customWidth="1"/>
    <col min="3610" max="3610" width="14.33203125" style="113" customWidth="1"/>
    <col min="3611" max="3611" width="12.1640625" style="113" customWidth="1"/>
    <col min="3612" max="3612" width="9.5" style="113" customWidth="1"/>
    <col min="3613" max="3613" width="1" style="113" customWidth="1"/>
    <col min="3614" max="3621" width="3.6640625" style="113" customWidth="1"/>
    <col min="3622" max="3622" width="4.6640625" style="113" bestFit="1" customWidth="1"/>
    <col min="3623" max="3667" width="3.6640625" style="113" customWidth="1"/>
    <col min="3668" max="3668" width="13.6640625" style="113" customWidth="1"/>
    <col min="3669" max="3669" width="10.83203125" style="113" customWidth="1"/>
    <col min="3670" max="3840" width="9.33203125" style="113"/>
    <col min="3841" max="3841" width="4.6640625" style="113" customWidth="1"/>
    <col min="3842" max="3842" width="40.33203125" style="113" customWidth="1"/>
    <col min="3843" max="3843" width="21.1640625" style="113" customWidth="1"/>
    <col min="3844" max="3844" width="11.6640625" style="113" customWidth="1"/>
    <col min="3845" max="3845" width="13.1640625" style="113" customWidth="1"/>
    <col min="3846" max="3846" width="9.83203125" style="113" customWidth="1"/>
    <col min="3847" max="3847" width="10.1640625" style="113" customWidth="1"/>
    <col min="3848" max="3848" width="17.83203125" style="113" customWidth="1"/>
    <col min="3849" max="3849" width="14.83203125" style="113" customWidth="1"/>
    <col min="3850" max="3850" width="15.5" style="113" customWidth="1"/>
    <col min="3851" max="3851" width="15.83203125" style="113" customWidth="1"/>
    <col min="3852" max="3852" width="19.1640625" style="113" customWidth="1"/>
    <col min="3853" max="3864" width="0" style="113" hidden="1" customWidth="1"/>
    <col min="3865" max="3865" width="12.33203125" style="113" customWidth="1"/>
    <col min="3866" max="3866" width="14.33203125" style="113" customWidth="1"/>
    <col min="3867" max="3867" width="12.1640625" style="113" customWidth="1"/>
    <col min="3868" max="3868" width="9.5" style="113" customWidth="1"/>
    <col min="3869" max="3869" width="1" style="113" customWidth="1"/>
    <col min="3870" max="3877" width="3.6640625" style="113" customWidth="1"/>
    <col min="3878" max="3878" width="4.6640625" style="113" bestFit="1" customWidth="1"/>
    <col min="3879" max="3923" width="3.6640625" style="113" customWidth="1"/>
    <col min="3924" max="3924" width="13.6640625" style="113" customWidth="1"/>
    <col min="3925" max="3925" width="10.83203125" style="113" customWidth="1"/>
    <col min="3926" max="4096" width="9.33203125" style="113"/>
    <col min="4097" max="4097" width="4.6640625" style="113" customWidth="1"/>
    <col min="4098" max="4098" width="40.33203125" style="113" customWidth="1"/>
    <col min="4099" max="4099" width="21.1640625" style="113" customWidth="1"/>
    <col min="4100" max="4100" width="11.6640625" style="113" customWidth="1"/>
    <col min="4101" max="4101" width="13.1640625" style="113" customWidth="1"/>
    <col min="4102" max="4102" width="9.83203125" style="113" customWidth="1"/>
    <col min="4103" max="4103" width="10.1640625" style="113" customWidth="1"/>
    <col min="4104" max="4104" width="17.83203125" style="113" customWidth="1"/>
    <col min="4105" max="4105" width="14.83203125" style="113" customWidth="1"/>
    <col min="4106" max="4106" width="15.5" style="113" customWidth="1"/>
    <col min="4107" max="4107" width="15.83203125" style="113" customWidth="1"/>
    <col min="4108" max="4108" width="19.1640625" style="113" customWidth="1"/>
    <col min="4109" max="4120" width="0" style="113" hidden="1" customWidth="1"/>
    <col min="4121" max="4121" width="12.33203125" style="113" customWidth="1"/>
    <col min="4122" max="4122" width="14.33203125" style="113" customWidth="1"/>
    <col min="4123" max="4123" width="12.1640625" style="113" customWidth="1"/>
    <col min="4124" max="4124" width="9.5" style="113" customWidth="1"/>
    <col min="4125" max="4125" width="1" style="113" customWidth="1"/>
    <col min="4126" max="4133" width="3.6640625" style="113" customWidth="1"/>
    <col min="4134" max="4134" width="4.6640625" style="113" bestFit="1" customWidth="1"/>
    <col min="4135" max="4179" width="3.6640625" style="113" customWidth="1"/>
    <col min="4180" max="4180" width="13.6640625" style="113" customWidth="1"/>
    <col min="4181" max="4181" width="10.83203125" style="113" customWidth="1"/>
    <col min="4182" max="4352" width="9.33203125" style="113"/>
    <col min="4353" max="4353" width="4.6640625" style="113" customWidth="1"/>
    <col min="4354" max="4354" width="40.33203125" style="113" customWidth="1"/>
    <col min="4355" max="4355" width="21.1640625" style="113" customWidth="1"/>
    <col min="4356" max="4356" width="11.6640625" style="113" customWidth="1"/>
    <col min="4357" max="4357" width="13.1640625" style="113" customWidth="1"/>
    <col min="4358" max="4358" width="9.83203125" style="113" customWidth="1"/>
    <col min="4359" max="4359" width="10.1640625" style="113" customWidth="1"/>
    <col min="4360" max="4360" width="17.83203125" style="113" customWidth="1"/>
    <col min="4361" max="4361" width="14.83203125" style="113" customWidth="1"/>
    <col min="4362" max="4362" width="15.5" style="113" customWidth="1"/>
    <col min="4363" max="4363" width="15.83203125" style="113" customWidth="1"/>
    <col min="4364" max="4364" width="19.1640625" style="113" customWidth="1"/>
    <col min="4365" max="4376" width="0" style="113" hidden="1" customWidth="1"/>
    <col min="4377" max="4377" width="12.33203125" style="113" customWidth="1"/>
    <col min="4378" max="4378" width="14.33203125" style="113" customWidth="1"/>
    <col min="4379" max="4379" width="12.1640625" style="113" customWidth="1"/>
    <col min="4380" max="4380" width="9.5" style="113" customWidth="1"/>
    <col min="4381" max="4381" width="1" style="113" customWidth="1"/>
    <col min="4382" max="4389" width="3.6640625" style="113" customWidth="1"/>
    <col min="4390" max="4390" width="4.6640625" style="113" bestFit="1" customWidth="1"/>
    <col min="4391" max="4435" width="3.6640625" style="113" customWidth="1"/>
    <col min="4436" max="4436" width="13.6640625" style="113" customWidth="1"/>
    <col min="4437" max="4437" width="10.83203125" style="113" customWidth="1"/>
    <col min="4438" max="4608" width="9.33203125" style="113"/>
    <col min="4609" max="4609" width="4.6640625" style="113" customWidth="1"/>
    <col min="4610" max="4610" width="40.33203125" style="113" customWidth="1"/>
    <col min="4611" max="4611" width="21.1640625" style="113" customWidth="1"/>
    <col min="4612" max="4612" width="11.6640625" style="113" customWidth="1"/>
    <col min="4613" max="4613" width="13.1640625" style="113" customWidth="1"/>
    <col min="4614" max="4614" width="9.83203125" style="113" customWidth="1"/>
    <col min="4615" max="4615" width="10.1640625" style="113" customWidth="1"/>
    <col min="4616" max="4616" width="17.83203125" style="113" customWidth="1"/>
    <col min="4617" max="4617" width="14.83203125" style="113" customWidth="1"/>
    <col min="4618" max="4618" width="15.5" style="113" customWidth="1"/>
    <col min="4619" max="4619" width="15.83203125" style="113" customWidth="1"/>
    <col min="4620" max="4620" width="19.1640625" style="113" customWidth="1"/>
    <col min="4621" max="4632" width="0" style="113" hidden="1" customWidth="1"/>
    <col min="4633" max="4633" width="12.33203125" style="113" customWidth="1"/>
    <col min="4634" max="4634" width="14.33203125" style="113" customWidth="1"/>
    <col min="4635" max="4635" width="12.1640625" style="113" customWidth="1"/>
    <col min="4636" max="4636" width="9.5" style="113" customWidth="1"/>
    <col min="4637" max="4637" width="1" style="113" customWidth="1"/>
    <col min="4638" max="4645" width="3.6640625" style="113" customWidth="1"/>
    <col min="4646" max="4646" width="4.6640625" style="113" bestFit="1" customWidth="1"/>
    <col min="4647" max="4691" width="3.6640625" style="113" customWidth="1"/>
    <col min="4692" max="4692" width="13.6640625" style="113" customWidth="1"/>
    <col min="4693" max="4693" width="10.83203125" style="113" customWidth="1"/>
    <col min="4694" max="4864" width="9.33203125" style="113"/>
    <col min="4865" max="4865" width="4.6640625" style="113" customWidth="1"/>
    <col min="4866" max="4866" width="40.33203125" style="113" customWidth="1"/>
    <col min="4867" max="4867" width="21.1640625" style="113" customWidth="1"/>
    <col min="4868" max="4868" width="11.6640625" style="113" customWidth="1"/>
    <col min="4869" max="4869" width="13.1640625" style="113" customWidth="1"/>
    <col min="4870" max="4870" width="9.83203125" style="113" customWidth="1"/>
    <col min="4871" max="4871" width="10.1640625" style="113" customWidth="1"/>
    <col min="4872" max="4872" width="17.83203125" style="113" customWidth="1"/>
    <col min="4873" max="4873" width="14.83203125" style="113" customWidth="1"/>
    <col min="4874" max="4874" width="15.5" style="113" customWidth="1"/>
    <col min="4875" max="4875" width="15.83203125" style="113" customWidth="1"/>
    <col min="4876" max="4876" width="19.1640625" style="113" customWidth="1"/>
    <col min="4877" max="4888" width="0" style="113" hidden="1" customWidth="1"/>
    <col min="4889" max="4889" width="12.33203125" style="113" customWidth="1"/>
    <col min="4890" max="4890" width="14.33203125" style="113" customWidth="1"/>
    <col min="4891" max="4891" width="12.1640625" style="113" customWidth="1"/>
    <col min="4892" max="4892" width="9.5" style="113" customWidth="1"/>
    <col min="4893" max="4893" width="1" style="113" customWidth="1"/>
    <col min="4894" max="4901" width="3.6640625" style="113" customWidth="1"/>
    <col min="4902" max="4902" width="4.6640625" style="113" bestFit="1" customWidth="1"/>
    <col min="4903" max="4947" width="3.6640625" style="113" customWidth="1"/>
    <col min="4948" max="4948" width="13.6640625" style="113" customWidth="1"/>
    <col min="4949" max="4949" width="10.83203125" style="113" customWidth="1"/>
    <col min="4950" max="5120" width="9.33203125" style="113"/>
    <col min="5121" max="5121" width="4.6640625" style="113" customWidth="1"/>
    <col min="5122" max="5122" width="40.33203125" style="113" customWidth="1"/>
    <col min="5123" max="5123" width="21.1640625" style="113" customWidth="1"/>
    <col min="5124" max="5124" width="11.6640625" style="113" customWidth="1"/>
    <col min="5125" max="5125" width="13.1640625" style="113" customWidth="1"/>
    <col min="5126" max="5126" width="9.83203125" style="113" customWidth="1"/>
    <col min="5127" max="5127" width="10.1640625" style="113" customWidth="1"/>
    <col min="5128" max="5128" width="17.83203125" style="113" customWidth="1"/>
    <col min="5129" max="5129" width="14.83203125" style="113" customWidth="1"/>
    <col min="5130" max="5130" width="15.5" style="113" customWidth="1"/>
    <col min="5131" max="5131" width="15.83203125" style="113" customWidth="1"/>
    <col min="5132" max="5132" width="19.1640625" style="113" customWidth="1"/>
    <col min="5133" max="5144" width="0" style="113" hidden="1" customWidth="1"/>
    <col min="5145" max="5145" width="12.33203125" style="113" customWidth="1"/>
    <col min="5146" max="5146" width="14.33203125" style="113" customWidth="1"/>
    <col min="5147" max="5147" width="12.1640625" style="113" customWidth="1"/>
    <col min="5148" max="5148" width="9.5" style="113" customWidth="1"/>
    <col min="5149" max="5149" width="1" style="113" customWidth="1"/>
    <col min="5150" max="5157" width="3.6640625" style="113" customWidth="1"/>
    <col min="5158" max="5158" width="4.6640625" style="113" bestFit="1" customWidth="1"/>
    <col min="5159" max="5203" width="3.6640625" style="113" customWidth="1"/>
    <col min="5204" max="5204" width="13.6640625" style="113" customWidth="1"/>
    <col min="5205" max="5205" width="10.83203125" style="113" customWidth="1"/>
    <col min="5206" max="5376" width="9.33203125" style="113"/>
    <col min="5377" max="5377" width="4.6640625" style="113" customWidth="1"/>
    <col min="5378" max="5378" width="40.33203125" style="113" customWidth="1"/>
    <col min="5379" max="5379" width="21.1640625" style="113" customWidth="1"/>
    <col min="5380" max="5380" width="11.6640625" style="113" customWidth="1"/>
    <col min="5381" max="5381" width="13.1640625" style="113" customWidth="1"/>
    <col min="5382" max="5382" width="9.83203125" style="113" customWidth="1"/>
    <col min="5383" max="5383" width="10.1640625" style="113" customWidth="1"/>
    <col min="5384" max="5384" width="17.83203125" style="113" customWidth="1"/>
    <col min="5385" max="5385" width="14.83203125" style="113" customWidth="1"/>
    <col min="5386" max="5386" width="15.5" style="113" customWidth="1"/>
    <col min="5387" max="5387" width="15.83203125" style="113" customWidth="1"/>
    <col min="5388" max="5388" width="19.1640625" style="113" customWidth="1"/>
    <col min="5389" max="5400" width="0" style="113" hidden="1" customWidth="1"/>
    <col min="5401" max="5401" width="12.33203125" style="113" customWidth="1"/>
    <col min="5402" max="5402" width="14.33203125" style="113" customWidth="1"/>
    <col min="5403" max="5403" width="12.1640625" style="113" customWidth="1"/>
    <col min="5404" max="5404" width="9.5" style="113" customWidth="1"/>
    <col min="5405" max="5405" width="1" style="113" customWidth="1"/>
    <col min="5406" max="5413" width="3.6640625" style="113" customWidth="1"/>
    <col min="5414" max="5414" width="4.6640625" style="113" bestFit="1" customWidth="1"/>
    <col min="5415" max="5459" width="3.6640625" style="113" customWidth="1"/>
    <col min="5460" max="5460" width="13.6640625" style="113" customWidth="1"/>
    <col min="5461" max="5461" width="10.83203125" style="113" customWidth="1"/>
    <col min="5462" max="5632" width="9.33203125" style="113"/>
    <col min="5633" max="5633" width="4.6640625" style="113" customWidth="1"/>
    <col min="5634" max="5634" width="40.33203125" style="113" customWidth="1"/>
    <col min="5635" max="5635" width="21.1640625" style="113" customWidth="1"/>
    <col min="5636" max="5636" width="11.6640625" style="113" customWidth="1"/>
    <col min="5637" max="5637" width="13.1640625" style="113" customWidth="1"/>
    <col min="5638" max="5638" width="9.83203125" style="113" customWidth="1"/>
    <col min="5639" max="5639" width="10.1640625" style="113" customWidth="1"/>
    <col min="5640" max="5640" width="17.83203125" style="113" customWidth="1"/>
    <col min="5641" max="5641" width="14.83203125" style="113" customWidth="1"/>
    <col min="5642" max="5642" width="15.5" style="113" customWidth="1"/>
    <col min="5643" max="5643" width="15.83203125" style="113" customWidth="1"/>
    <col min="5644" max="5644" width="19.1640625" style="113" customWidth="1"/>
    <col min="5645" max="5656" width="0" style="113" hidden="1" customWidth="1"/>
    <col min="5657" max="5657" width="12.33203125" style="113" customWidth="1"/>
    <col min="5658" max="5658" width="14.33203125" style="113" customWidth="1"/>
    <col min="5659" max="5659" width="12.1640625" style="113" customWidth="1"/>
    <col min="5660" max="5660" width="9.5" style="113" customWidth="1"/>
    <col min="5661" max="5661" width="1" style="113" customWidth="1"/>
    <col min="5662" max="5669" width="3.6640625" style="113" customWidth="1"/>
    <col min="5670" max="5670" width="4.6640625" style="113" bestFit="1" customWidth="1"/>
    <col min="5671" max="5715" width="3.6640625" style="113" customWidth="1"/>
    <col min="5716" max="5716" width="13.6640625" style="113" customWidth="1"/>
    <col min="5717" max="5717" width="10.83203125" style="113" customWidth="1"/>
    <col min="5718" max="5888" width="9.33203125" style="113"/>
    <col min="5889" max="5889" width="4.6640625" style="113" customWidth="1"/>
    <col min="5890" max="5890" width="40.33203125" style="113" customWidth="1"/>
    <col min="5891" max="5891" width="21.1640625" style="113" customWidth="1"/>
    <col min="5892" max="5892" width="11.6640625" style="113" customWidth="1"/>
    <col min="5893" max="5893" width="13.1640625" style="113" customWidth="1"/>
    <col min="5894" max="5894" width="9.83203125" style="113" customWidth="1"/>
    <col min="5895" max="5895" width="10.1640625" style="113" customWidth="1"/>
    <col min="5896" max="5896" width="17.83203125" style="113" customWidth="1"/>
    <col min="5897" max="5897" width="14.83203125" style="113" customWidth="1"/>
    <col min="5898" max="5898" width="15.5" style="113" customWidth="1"/>
    <col min="5899" max="5899" width="15.83203125" style="113" customWidth="1"/>
    <col min="5900" max="5900" width="19.1640625" style="113" customWidth="1"/>
    <col min="5901" max="5912" width="0" style="113" hidden="1" customWidth="1"/>
    <col min="5913" max="5913" width="12.33203125" style="113" customWidth="1"/>
    <col min="5914" max="5914" width="14.33203125" style="113" customWidth="1"/>
    <col min="5915" max="5915" width="12.1640625" style="113" customWidth="1"/>
    <col min="5916" max="5916" width="9.5" style="113" customWidth="1"/>
    <col min="5917" max="5917" width="1" style="113" customWidth="1"/>
    <col min="5918" max="5925" width="3.6640625" style="113" customWidth="1"/>
    <col min="5926" max="5926" width="4.6640625" style="113" bestFit="1" customWidth="1"/>
    <col min="5927" max="5971" width="3.6640625" style="113" customWidth="1"/>
    <col min="5972" max="5972" width="13.6640625" style="113" customWidth="1"/>
    <col min="5973" max="5973" width="10.83203125" style="113" customWidth="1"/>
    <col min="5974" max="6144" width="9.33203125" style="113"/>
    <col min="6145" max="6145" width="4.6640625" style="113" customWidth="1"/>
    <col min="6146" max="6146" width="40.33203125" style="113" customWidth="1"/>
    <col min="6147" max="6147" width="21.1640625" style="113" customWidth="1"/>
    <col min="6148" max="6148" width="11.6640625" style="113" customWidth="1"/>
    <col min="6149" max="6149" width="13.1640625" style="113" customWidth="1"/>
    <col min="6150" max="6150" width="9.83203125" style="113" customWidth="1"/>
    <col min="6151" max="6151" width="10.1640625" style="113" customWidth="1"/>
    <col min="6152" max="6152" width="17.83203125" style="113" customWidth="1"/>
    <col min="6153" max="6153" width="14.83203125" style="113" customWidth="1"/>
    <col min="6154" max="6154" width="15.5" style="113" customWidth="1"/>
    <col min="6155" max="6155" width="15.83203125" style="113" customWidth="1"/>
    <col min="6156" max="6156" width="19.1640625" style="113" customWidth="1"/>
    <col min="6157" max="6168" width="0" style="113" hidden="1" customWidth="1"/>
    <col min="6169" max="6169" width="12.33203125" style="113" customWidth="1"/>
    <col min="6170" max="6170" width="14.33203125" style="113" customWidth="1"/>
    <col min="6171" max="6171" width="12.1640625" style="113" customWidth="1"/>
    <col min="6172" max="6172" width="9.5" style="113" customWidth="1"/>
    <col min="6173" max="6173" width="1" style="113" customWidth="1"/>
    <col min="6174" max="6181" width="3.6640625" style="113" customWidth="1"/>
    <col min="6182" max="6182" width="4.6640625" style="113" bestFit="1" customWidth="1"/>
    <col min="6183" max="6227" width="3.6640625" style="113" customWidth="1"/>
    <col min="6228" max="6228" width="13.6640625" style="113" customWidth="1"/>
    <col min="6229" max="6229" width="10.83203125" style="113" customWidth="1"/>
    <col min="6230" max="6400" width="9.33203125" style="113"/>
    <col min="6401" max="6401" width="4.6640625" style="113" customWidth="1"/>
    <col min="6402" max="6402" width="40.33203125" style="113" customWidth="1"/>
    <col min="6403" max="6403" width="21.1640625" style="113" customWidth="1"/>
    <col min="6404" max="6404" width="11.6640625" style="113" customWidth="1"/>
    <col min="6405" max="6405" width="13.1640625" style="113" customWidth="1"/>
    <col min="6406" max="6406" width="9.83203125" style="113" customWidth="1"/>
    <col min="6407" max="6407" width="10.1640625" style="113" customWidth="1"/>
    <col min="6408" max="6408" width="17.83203125" style="113" customWidth="1"/>
    <col min="6409" max="6409" width="14.83203125" style="113" customWidth="1"/>
    <col min="6410" max="6410" width="15.5" style="113" customWidth="1"/>
    <col min="6411" max="6411" width="15.83203125" style="113" customWidth="1"/>
    <col min="6412" max="6412" width="19.1640625" style="113" customWidth="1"/>
    <col min="6413" max="6424" width="0" style="113" hidden="1" customWidth="1"/>
    <col min="6425" max="6425" width="12.33203125" style="113" customWidth="1"/>
    <col min="6426" max="6426" width="14.33203125" style="113" customWidth="1"/>
    <col min="6427" max="6427" width="12.1640625" style="113" customWidth="1"/>
    <col min="6428" max="6428" width="9.5" style="113" customWidth="1"/>
    <col min="6429" max="6429" width="1" style="113" customWidth="1"/>
    <col min="6430" max="6437" width="3.6640625" style="113" customWidth="1"/>
    <col min="6438" max="6438" width="4.6640625" style="113" bestFit="1" customWidth="1"/>
    <col min="6439" max="6483" width="3.6640625" style="113" customWidth="1"/>
    <col min="6484" max="6484" width="13.6640625" style="113" customWidth="1"/>
    <col min="6485" max="6485" width="10.83203125" style="113" customWidth="1"/>
    <col min="6486" max="6656" width="9.33203125" style="113"/>
    <col min="6657" max="6657" width="4.6640625" style="113" customWidth="1"/>
    <col min="6658" max="6658" width="40.33203125" style="113" customWidth="1"/>
    <col min="6659" max="6659" width="21.1640625" style="113" customWidth="1"/>
    <col min="6660" max="6660" width="11.6640625" style="113" customWidth="1"/>
    <col min="6661" max="6661" width="13.1640625" style="113" customWidth="1"/>
    <col min="6662" max="6662" width="9.83203125" style="113" customWidth="1"/>
    <col min="6663" max="6663" width="10.1640625" style="113" customWidth="1"/>
    <col min="6664" max="6664" width="17.83203125" style="113" customWidth="1"/>
    <col min="6665" max="6665" width="14.83203125" style="113" customWidth="1"/>
    <col min="6666" max="6666" width="15.5" style="113" customWidth="1"/>
    <col min="6667" max="6667" width="15.83203125" style="113" customWidth="1"/>
    <col min="6668" max="6668" width="19.1640625" style="113" customWidth="1"/>
    <col min="6669" max="6680" width="0" style="113" hidden="1" customWidth="1"/>
    <col min="6681" max="6681" width="12.33203125" style="113" customWidth="1"/>
    <col min="6682" max="6682" width="14.33203125" style="113" customWidth="1"/>
    <col min="6683" max="6683" width="12.1640625" style="113" customWidth="1"/>
    <col min="6684" max="6684" width="9.5" style="113" customWidth="1"/>
    <col min="6685" max="6685" width="1" style="113" customWidth="1"/>
    <col min="6686" max="6693" width="3.6640625" style="113" customWidth="1"/>
    <col min="6694" max="6694" width="4.6640625" style="113" bestFit="1" customWidth="1"/>
    <col min="6695" max="6739" width="3.6640625" style="113" customWidth="1"/>
    <col min="6740" max="6740" width="13.6640625" style="113" customWidth="1"/>
    <col min="6741" max="6741" width="10.83203125" style="113" customWidth="1"/>
    <col min="6742" max="6912" width="9.33203125" style="113"/>
    <col min="6913" max="6913" width="4.6640625" style="113" customWidth="1"/>
    <col min="6914" max="6914" width="40.33203125" style="113" customWidth="1"/>
    <col min="6915" max="6915" width="21.1640625" style="113" customWidth="1"/>
    <col min="6916" max="6916" width="11.6640625" style="113" customWidth="1"/>
    <col min="6917" max="6917" width="13.1640625" style="113" customWidth="1"/>
    <col min="6918" max="6918" width="9.83203125" style="113" customWidth="1"/>
    <col min="6919" max="6919" width="10.1640625" style="113" customWidth="1"/>
    <col min="6920" max="6920" width="17.83203125" style="113" customWidth="1"/>
    <col min="6921" max="6921" width="14.83203125" style="113" customWidth="1"/>
    <col min="6922" max="6922" width="15.5" style="113" customWidth="1"/>
    <col min="6923" max="6923" width="15.83203125" style="113" customWidth="1"/>
    <col min="6924" max="6924" width="19.1640625" style="113" customWidth="1"/>
    <col min="6925" max="6936" width="0" style="113" hidden="1" customWidth="1"/>
    <col min="6937" max="6937" width="12.33203125" style="113" customWidth="1"/>
    <col min="6938" max="6938" width="14.33203125" style="113" customWidth="1"/>
    <col min="6939" max="6939" width="12.1640625" style="113" customWidth="1"/>
    <col min="6940" max="6940" width="9.5" style="113" customWidth="1"/>
    <col min="6941" max="6941" width="1" style="113" customWidth="1"/>
    <col min="6942" max="6949" width="3.6640625" style="113" customWidth="1"/>
    <col min="6950" max="6950" width="4.6640625" style="113" bestFit="1" customWidth="1"/>
    <col min="6951" max="6995" width="3.6640625" style="113" customWidth="1"/>
    <col min="6996" max="6996" width="13.6640625" style="113" customWidth="1"/>
    <col min="6997" max="6997" width="10.83203125" style="113" customWidth="1"/>
    <col min="6998" max="7168" width="9.33203125" style="113"/>
    <col min="7169" max="7169" width="4.6640625" style="113" customWidth="1"/>
    <col min="7170" max="7170" width="40.33203125" style="113" customWidth="1"/>
    <col min="7171" max="7171" width="21.1640625" style="113" customWidth="1"/>
    <col min="7172" max="7172" width="11.6640625" style="113" customWidth="1"/>
    <col min="7173" max="7173" width="13.1640625" style="113" customWidth="1"/>
    <col min="7174" max="7174" width="9.83203125" style="113" customWidth="1"/>
    <col min="7175" max="7175" width="10.1640625" style="113" customWidth="1"/>
    <col min="7176" max="7176" width="17.83203125" style="113" customWidth="1"/>
    <col min="7177" max="7177" width="14.83203125" style="113" customWidth="1"/>
    <col min="7178" max="7178" width="15.5" style="113" customWidth="1"/>
    <col min="7179" max="7179" width="15.83203125" style="113" customWidth="1"/>
    <col min="7180" max="7180" width="19.1640625" style="113" customWidth="1"/>
    <col min="7181" max="7192" width="0" style="113" hidden="1" customWidth="1"/>
    <col min="7193" max="7193" width="12.33203125" style="113" customWidth="1"/>
    <col min="7194" max="7194" width="14.33203125" style="113" customWidth="1"/>
    <col min="7195" max="7195" width="12.1640625" style="113" customWidth="1"/>
    <col min="7196" max="7196" width="9.5" style="113" customWidth="1"/>
    <col min="7197" max="7197" width="1" style="113" customWidth="1"/>
    <col min="7198" max="7205" width="3.6640625" style="113" customWidth="1"/>
    <col min="7206" max="7206" width="4.6640625" style="113" bestFit="1" customWidth="1"/>
    <col min="7207" max="7251" width="3.6640625" style="113" customWidth="1"/>
    <col min="7252" max="7252" width="13.6640625" style="113" customWidth="1"/>
    <col min="7253" max="7253" width="10.83203125" style="113" customWidth="1"/>
    <col min="7254" max="7424" width="9.33203125" style="113"/>
    <col min="7425" max="7425" width="4.6640625" style="113" customWidth="1"/>
    <col min="7426" max="7426" width="40.33203125" style="113" customWidth="1"/>
    <col min="7427" max="7427" width="21.1640625" style="113" customWidth="1"/>
    <col min="7428" max="7428" width="11.6640625" style="113" customWidth="1"/>
    <col min="7429" max="7429" width="13.1640625" style="113" customWidth="1"/>
    <col min="7430" max="7430" width="9.83203125" style="113" customWidth="1"/>
    <col min="7431" max="7431" width="10.1640625" style="113" customWidth="1"/>
    <col min="7432" max="7432" width="17.83203125" style="113" customWidth="1"/>
    <col min="7433" max="7433" width="14.83203125" style="113" customWidth="1"/>
    <col min="7434" max="7434" width="15.5" style="113" customWidth="1"/>
    <col min="7435" max="7435" width="15.83203125" style="113" customWidth="1"/>
    <col min="7436" max="7436" width="19.1640625" style="113" customWidth="1"/>
    <col min="7437" max="7448" width="0" style="113" hidden="1" customWidth="1"/>
    <col min="7449" max="7449" width="12.33203125" style="113" customWidth="1"/>
    <col min="7450" max="7450" width="14.33203125" style="113" customWidth="1"/>
    <col min="7451" max="7451" width="12.1640625" style="113" customWidth="1"/>
    <col min="7452" max="7452" width="9.5" style="113" customWidth="1"/>
    <col min="7453" max="7453" width="1" style="113" customWidth="1"/>
    <col min="7454" max="7461" width="3.6640625" style="113" customWidth="1"/>
    <col min="7462" max="7462" width="4.6640625" style="113" bestFit="1" customWidth="1"/>
    <col min="7463" max="7507" width="3.6640625" style="113" customWidth="1"/>
    <col min="7508" max="7508" width="13.6640625" style="113" customWidth="1"/>
    <col min="7509" max="7509" width="10.83203125" style="113" customWidth="1"/>
    <col min="7510" max="7680" width="9.33203125" style="113"/>
    <col min="7681" max="7681" width="4.6640625" style="113" customWidth="1"/>
    <col min="7682" max="7682" width="40.33203125" style="113" customWidth="1"/>
    <col min="7683" max="7683" width="21.1640625" style="113" customWidth="1"/>
    <col min="7684" max="7684" width="11.6640625" style="113" customWidth="1"/>
    <col min="7685" max="7685" width="13.1640625" style="113" customWidth="1"/>
    <col min="7686" max="7686" width="9.83203125" style="113" customWidth="1"/>
    <col min="7687" max="7687" width="10.1640625" style="113" customWidth="1"/>
    <col min="7688" max="7688" width="17.83203125" style="113" customWidth="1"/>
    <col min="7689" max="7689" width="14.83203125" style="113" customWidth="1"/>
    <col min="7690" max="7690" width="15.5" style="113" customWidth="1"/>
    <col min="7691" max="7691" width="15.83203125" style="113" customWidth="1"/>
    <col min="7692" max="7692" width="19.1640625" style="113" customWidth="1"/>
    <col min="7693" max="7704" width="0" style="113" hidden="1" customWidth="1"/>
    <col min="7705" max="7705" width="12.33203125" style="113" customWidth="1"/>
    <col min="7706" max="7706" width="14.33203125" style="113" customWidth="1"/>
    <col min="7707" max="7707" width="12.1640625" style="113" customWidth="1"/>
    <col min="7708" max="7708" width="9.5" style="113" customWidth="1"/>
    <col min="7709" max="7709" width="1" style="113" customWidth="1"/>
    <col min="7710" max="7717" width="3.6640625" style="113" customWidth="1"/>
    <col min="7718" max="7718" width="4.6640625" style="113" bestFit="1" customWidth="1"/>
    <col min="7719" max="7763" width="3.6640625" style="113" customWidth="1"/>
    <col min="7764" max="7764" width="13.6640625" style="113" customWidth="1"/>
    <col min="7765" max="7765" width="10.83203125" style="113" customWidth="1"/>
    <col min="7766" max="7936" width="9.33203125" style="113"/>
    <col min="7937" max="7937" width="4.6640625" style="113" customWidth="1"/>
    <col min="7938" max="7938" width="40.33203125" style="113" customWidth="1"/>
    <col min="7939" max="7939" width="21.1640625" style="113" customWidth="1"/>
    <col min="7940" max="7940" width="11.6640625" style="113" customWidth="1"/>
    <col min="7941" max="7941" width="13.1640625" style="113" customWidth="1"/>
    <col min="7942" max="7942" width="9.83203125" style="113" customWidth="1"/>
    <col min="7943" max="7943" width="10.1640625" style="113" customWidth="1"/>
    <col min="7944" max="7944" width="17.83203125" style="113" customWidth="1"/>
    <col min="7945" max="7945" width="14.83203125" style="113" customWidth="1"/>
    <col min="7946" max="7946" width="15.5" style="113" customWidth="1"/>
    <col min="7947" max="7947" width="15.83203125" style="113" customWidth="1"/>
    <col min="7948" max="7948" width="19.1640625" style="113" customWidth="1"/>
    <col min="7949" max="7960" width="0" style="113" hidden="1" customWidth="1"/>
    <col min="7961" max="7961" width="12.33203125" style="113" customWidth="1"/>
    <col min="7962" max="7962" width="14.33203125" style="113" customWidth="1"/>
    <col min="7963" max="7963" width="12.1640625" style="113" customWidth="1"/>
    <col min="7964" max="7964" width="9.5" style="113" customWidth="1"/>
    <col min="7965" max="7965" width="1" style="113" customWidth="1"/>
    <col min="7966" max="7973" width="3.6640625" style="113" customWidth="1"/>
    <col min="7974" max="7974" width="4.6640625" style="113" bestFit="1" customWidth="1"/>
    <col min="7975" max="8019" width="3.6640625" style="113" customWidth="1"/>
    <col min="8020" max="8020" width="13.6640625" style="113" customWidth="1"/>
    <col min="8021" max="8021" width="10.83203125" style="113" customWidth="1"/>
    <col min="8022" max="8192" width="9.33203125" style="113"/>
    <col min="8193" max="8193" width="4.6640625" style="113" customWidth="1"/>
    <col min="8194" max="8194" width="40.33203125" style="113" customWidth="1"/>
    <col min="8195" max="8195" width="21.1640625" style="113" customWidth="1"/>
    <col min="8196" max="8196" width="11.6640625" style="113" customWidth="1"/>
    <col min="8197" max="8197" width="13.1640625" style="113" customWidth="1"/>
    <col min="8198" max="8198" width="9.83203125" style="113" customWidth="1"/>
    <col min="8199" max="8199" width="10.1640625" style="113" customWidth="1"/>
    <col min="8200" max="8200" width="17.83203125" style="113" customWidth="1"/>
    <col min="8201" max="8201" width="14.83203125" style="113" customWidth="1"/>
    <col min="8202" max="8202" width="15.5" style="113" customWidth="1"/>
    <col min="8203" max="8203" width="15.83203125" style="113" customWidth="1"/>
    <col min="8204" max="8204" width="19.1640625" style="113" customWidth="1"/>
    <col min="8205" max="8216" width="0" style="113" hidden="1" customWidth="1"/>
    <col min="8217" max="8217" width="12.33203125" style="113" customWidth="1"/>
    <col min="8218" max="8218" width="14.33203125" style="113" customWidth="1"/>
    <col min="8219" max="8219" width="12.1640625" style="113" customWidth="1"/>
    <col min="8220" max="8220" width="9.5" style="113" customWidth="1"/>
    <col min="8221" max="8221" width="1" style="113" customWidth="1"/>
    <col min="8222" max="8229" width="3.6640625" style="113" customWidth="1"/>
    <col min="8230" max="8230" width="4.6640625" style="113" bestFit="1" customWidth="1"/>
    <col min="8231" max="8275" width="3.6640625" style="113" customWidth="1"/>
    <col min="8276" max="8276" width="13.6640625" style="113" customWidth="1"/>
    <col min="8277" max="8277" width="10.83203125" style="113" customWidth="1"/>
    <col min="8278" max="8448" width="9.33203125" style="113"/>
    <col min="8449" max="8449" width="4.6640625" style="113" customWidth="1"/>
    <col min="8450" max="8450" width="40.33203125" style="113" customWidth="1"/>
    <col min="8451" max="8451" width="21.1640625" style="113" customWidth="1"/>
    <col min="8452" max="8452" width="11.6640625" style="113" customWidth="1"/>
    <col min="8453" max="8453" width="13.1640625" style="113" customWidth="1"/>
    <col min="8454" max="8454" width="9.83203125" style="113" customWidth="1"/>
    <col min="8455" max="8455" width="10.1640625" style="113" customWidth="1"/>
    <col min="8456" max="8456" width="17.83203125" style="113" customWidth="1"/>
    <col min="8457" max="8457" width="14.83203125" style="113" customWidth="1"/>
    <col min="8458" max="8458" width="15.5" style="113" customWidth="1"/>
    <col min="8459" max="8459" width="15.83203125" style="113" customWidth="1"/>
    <col min="8460" max="8460" width="19.1640625" style="113" customWidth="1"/>
    <col min="8461" max="8472" width="0" style="113" hidden="1" customWidth="1"/>
    <col min="8473" max="8473" width="12.33203125" style="113" customWidth="1"/>
    <col min="8474" max="8474" width="14.33203125" style="113" customWidth="1"/>
    <col min="8475" max="8475" width="12.1640625" style="113" customWidth="1"/>
    <col min="8476" max="8476" width="9.5" style="113" customWidth="1"/>
    <col min="8477" max="8477" width="1" style="113" customWidth="1"/>
    <col min="8478" max="8485" width="3.6640625" style="113" customWidth="1"/>
    <col min="8486" max="8486" width="4.6640625" style="113" bestFit="1" customWidth="1"/>
    <col min="8487" max="8531" width="3.6640625" style="113" customWidth="1"/>
    <col min="8532" max="8532" width="13.6640625" style="113" customWidth="1"/>
    <col min="8533" max="8533" width="10.83203125" style="113" customWidth="1"/>
    <col min="8534" max="8704" width="9.33203125" style="113"/>
    <col min="8705" max="8705" width="4.6640625" style="113" customWidth="1"/>
    <col min="8706" max="8706" width="40.33203125" style="113" customWidth="1"/>
    <col min="8707" max="8707" width="21.1640625" style="113" customWidth="1"/>
    <col min="8708" max="8708" width="11.6640625" style="113" customWidth="1"/>
    <col min="8709" max="8709" width="13.1640625" style="113" customWidth="1"/>
    <col min="8710" max="8710" width="9.83203125" style="113" customWidth="1"/>
    <col min="8711" max="8711" width="10.1640625" style="113" customWidth="1"/>
    <col min="8712" max="8712" width="17.83203125" style="113" customWidth="1"/>
    <col min="8713" max="8713" width="14.83203125" style="113" customWidth="1"/>
    <col min="8714" max="8714" width="15.5" style="113" customWidth="1"/>
    <col min="8715" max="8715" width="15.83203125" style="113" customWidth="1"/>
    <col min="8716" max="8716" width="19.1640625" style="113" customWidth="1"/>
    <col min="8717" max="8728" width="0" style="113" hidden="1" customWidth="1"/>
    <col min="8729" max="8729" width="12.33203125" style="113" customWidth="1"/>
    <col min="8730" max="8730" width="14.33203125" style="113" customWidth="1"/>
    <col min="8731" max="8731" width="12.1640625" style="113" customWidth="1"/>
    <col min="8732" max="8732" width="9.5" style="113" customWidth="1"/>
    <col min="8733" max="8733" width="1" style="113" customWidth="1"/>
    <col min="8734" max="8741" width="3.6640625" style="113" customWidth="1"/>
    <col min="8742" max="8742" width="4.6640625" style="113" bestFit="1" customWidth="1"/>
    <col min="8743" max="8787" width="3.6640625" style="113" customWidth="1"/>
    <col min="8788" max="8788" width="13.6640625" style="113" customWidth="1"/>
    <col min="8789" max="8789" width="10.83203125" style="113" customWidth="1"/>
    <col min="8790" max="8960" width="9.33203125" style="113"/>
    <col min="8961" max="8961" width="4.6640625" style="113" customWidth="1"/>
    <col min="8962" max="8962" width="40.33203125" style="113" customWidth="1"/>
    <col min="8963" max="8963" width="21.1640625" style="113" customWidth="1"/>
    <col min="8964" max="8964" width="11.6640625" style="113" customWidth="1"/>
    <col min="8965" max="8965" width="13.1640625" style="113" customWidth="1"/>
    <col min="8966" max="8966" width="9.83203125" style="113" customWidth="1"/>
    <col min="8967" max="8967" width="10.1640625" style="113" customWidth="1"/>
    <col min="8968" max="8968" width="17.83203125" style="113" customWidth="1"/>
    <col min="8969" max="8969" width="14.83203125" style="113" customWidth="1"/>
    <col min="8970" max="8970" width="15.5" style="113" customWidth="1"/>
    <col min="8971" max="8971" width="15.83203125" style="113" customWidth="1"/>
    <col min="8972" max="8972" width="19.1640625" style="113" customWidth="1"/>
    <col min="8973" max="8984" width="0" style="113" hidden="1" customWidth="1"/>
    <col min="8985" max="8985" width="12.33203125" style="113" customWidth="1"/>
    <col min="8986" max="8986" width="14.33203125" style="113" customWidth="1"/>
    <col min="8987" max="8987" width="12.1640625" style="113" customWidth="1"/>
    <col min="8988" max="8988" width="9.5" style="113" customWidth="1"/>
    <col min="8989" max="8989" width="1" style="113" customWidth="1"/>
    <col min="8990" max="8997" width="3.6640625" style="113" customWidth="1"/>
    <col min="8998" max="8998" width="4.6640625" style="113" bestFit="1" customWidth="1"/>
    <col min="8999" max="9043" width="3.6640625" style="113" customWidth="1"/>
    <col min="9044" max="9044" width="13.6640625" style="113" customWidth="1"/>
    <col min="9045" max="9045" width="10.83203125" style="113" customWidth="1"/>
    <col min="9046" max="9216" width="9.33203125" style="113"/>
    <col min="9217" max="9217" width="4.6640625" style="113" customWidth="1"/>
    <col min="9218" max="9218" width="40.33203125" style="113" customWidth="1"/>
    <col min="9219" max="9219" width="21.1640625" style="113" customWidth="1"/>
    <col min="9220" max="9220" width="11.6640625" style="113" customWidth="1"/>
    <col min="9221" max="9221" width="13.1640625" style="113" customWidth="1"/>
    <col min="9222" max="9222" width="9.83203125" style="113" customWidth="1"/>
    <col min="9223" max="9223" width="10.1640625" style="113" customWidth="1"/>
    <col min="9224" max="9224" width="17.83203125" style="113" customWidth="1"/>
    <col min="9225" max="9225" width="14.83203125" style="113" customWidth="1"/>
    <col min="9226" max="9226" width="15.5" style="113" customWidth="1"/>
    <col min="9227" max="9227" width="15.83203125" style="113" customWidth="1"/>
    <col min="9228" max="9228" width="19.1640625" style="113" customWidth="1"/>
    <col min="9229" max="9240" width="0" style="113" hidden="1" customWidth="1"/>
    <col min="9241" max="9241" width="12.33203125" style="113" customWidth="1"/>
    <col min="9242" max="9242" width="14.33203125" style="113" customWidth="1"/>
    <col min="9243" max="9243" width="12.1640625" style="113" customWidth="1"/>
    <col min="9244" max="9244" width="9.5" style="113" customWidth="1"/>
    <col min="9245" max="9245" width="1" style="113" customWidth="1"/>
    <col min="9246" max="9253" width="3.6640625" style="113" customWidth="1"/>
    <col min="9254" max="9254" width="4.6640625" style="113" bestFit="1" customWidth="1"/>
    <col min="9255" max="9299" width="3.6640625" style="113" customWidth="1"/>
    <col min="9300" max="9300" width="13.6640625" style="113" customWidth="1"/>
    <col min="9301" max="9301" width="10.83203125" style="113" customWidth="1"/>
    <col min="9302" max="9472" width="9.33203125" style="113"/>
    <col min="9473" max="9473" width="4.6640625" style="113" customWidth="1"/>
    <col min="9474" max="9474" width="40.33203125" style="113" customWidth="1"/>
    <col min="9475" max="9475" width="21.1640625" style="113" customWidth="1"/>
    <col min="9476" max="9476" width="11.6640625" style="113" customWidth="1"/>
    <col min="9477" max="9477" width="13.1640625" style="113" customWidth="1"/>
    <col min="9478" max="9478" width="9.83203125" style="113" customWidth="1"/>
    <col min="9479" max="9479" width="10.1640625" style="113" customWidth="1"/>
    <col min="9480" max="9480" width="17.83203125" style="113" customWidth="1"/>
    <col min="9481" max="9481" width="14.83203125" style="113" customWidth="1"/>
    <col min="9482" max="9482" width="15.5" style="113" customWidth="1"/>
    <col min="9483" max="9483" width="15.83203125" style="113" customWidth="1"/>
    <col min="9484" max="9484" width="19.1640625" style="113" customWidth="1"/>
    <col min="9485" max="9496" width="0" style="113" hidden="1" customWidth="1"/>
    <col min="9497" max="9497" width="12.33203125" style="113" customWidth="1"/>
    <col min="9498" max="9498" width="14.33203125" style="113" customWidth="1"/>
    <col min="9499" max="9499" width="12.1640625" style="113" customWidth="1"/>
    <col min="9500" max="9500" width="9.5" style="113" customWidth="1"/>
    <col min="9501" max="9501" width="1" style="113" customWidth="1"/>
    <col min="9502" max="9509" width="3.6640625" style="113" customWidth="1"/>
    <col min="9510" max="9510" width="4.6640625" style="113" bestFit="1" customWidth="1"/>
    <col min="9511" max="9555" width="3.6640625" style="113" customWidth="1"/>
    <col min="9556" max="9556" width="13.6640625" style="113" customWidth="1"/>
    <col min="9557" max="9557" width="10.83203125" style="113" customWidth="1"/>
    <col min="9558" max="9728" width="9.33203125" style="113"/>
    <col min="9729" max="9729" width="4.6640625" style="113" customWidth="1"/>
    <col min="9730" max="9730" width="40.33203125" style="113" customWidth="1"/>
    <col min="9731" max="9731" width="21.1640625" style="113" customWidth="1"/>
    <col min="9732" max="9732" width="11.6640625" style="113" customWidth="1"/>
    <col min="9733" max="9733" width="13.1640625" style="113" customWidth="1"/>
    <col min="9734" max="9734" width="9.83203125" style="113" customWidth="1"/>
    <col min="9735" max="9735" width="10.1640625" style="113" customWidth="1"/>
    <col min="9736" max="9736" width="17.83203125" style="113" customWidth="1"/>
    <col min="9737" max="9737" width="14.83203125" style="113" customWidth="1"/>
    <col min="9738" max="9738" width="15.5" style="113" customWidth="1"/>
    <col min="9739" max="9739" width="15.83203125" style="113" customWidth="1"/>
    <col min="9740" max="9740" width="19.1640625" style="113" customWidth="1"/>
    <col min="9741" max="9752" width="0" style="113" hidden="1" customWidth="1"/>
    <col min="9753" max="9753" width="12.33203125" style="113" customWidth="1"/>
    <col min="9754" max="9754" width="14.33203125" style="113" customWidth="1"/>
    <col min="9755" max="9755" width="12.1640625" style="113" customWidth="1"/>
    <col min="9756" max="9756" width="9.5" style="113" customWidth="1"/>
    <col min="9757" max="9757" width="1" style="113" customWidth="1"/>
    <col min="9758" max="9765" width="3.6640625" style="113" customWidth="1"/>
    <col min="9766" max="9766" width="4.6640625" style="113" bestFit="1" customWidth="1"/>
    <col min="9767" max="9811" width="3.6640625" style="113" customWidth="1"/>
    <col min="9812" max="9812" width="13.6640625" style="113" customWidth="1"/>
    <col min="9813" max="9813" width="10.83203125" style="113" customWidth="1"/>
    <col min="9814" max="9984" width="9.33203125" style="113"/>
    <col min="9985" max="9985" width="4.6640625" style="113" customWidth="1"/>
    <col min="9986" max="9986" width="40.33203125" style="113" customWidth="1"/>
    <col min="9987" max="9987" width="21.1640625" style="113" customWidth="1"/>
    <col min="9988" max="9988" width="11.6640625" style="113" customWidth="1"/>
    <col min="9989" max="9989" width="13.1640625" style="113" customWidth="1"/>
    <col min="9990" max="9990" width="9.83203125" style="113" customWidth="1"/>
    <col min="9991" max="9991" width="10.1640625" style="113" customWidth="1"/>
    <col min="9992" max="9992" width="17.83203125" style="113" customWidth="1"/>
    <col min="9993" max="9993" width="14.83203125" style="113" customWidth="1"/>
    <col min="9994" max="9994" width="15.5" style="113" customWidth="1"/>
    <col min="9995" max="9995" width="15.83203125" style="113" customWidth="1"/>
    <col min="9996" max="9996" width="19.1640625" style="113" customWidth="1"/>
    <col min="9997" max="10008" width="0" style="113" hidden="1" customWidth="1"/>
    <col min="10009" max="10009" width="12.33203125" style="113" customWidth="1"/>
    <col min="10010" max="10010" width="14.33203125" style="113" customWidth="1"/>
    <col min="10011" max="10011" width="12.1640625" style="113" customWidth="1"/>
    <col min="10012" max="10012" width="9.5" style="113" customWidth="1"/>
    <col min="10013" max="10013" width="1" style="113" customWidth="1"/>
    <col min="10014" max="10021" width="3.6640625" style="113" customWidth="1"/>
    <col min="10022" max="10022" width="4.6640625" style="113" bestFit="1" customWidth="1"/>
    <col min="10023" max="10067" width="3.6640625" style="113" customWidth="1"/>
    <col min="10068" max="10068" width="13.6640625" style="113" customWidth="1"/>
    <col min="10069" max="10069" width="10.83203125" style="113" customWidth="1"/>
    <col min="10070" max="10240" width="9.33203125" style="113"/>
    <col min="10241" max="10241" width="4.6640625" style="113" customWidth="1"/>
    <col min="10242" max="10242" width="40.33203125" style="113" customWidth="1"/>
    <col min="10243" max="10243" width="21.1640625" style="113" customWidth="1"/>
    <col min="10244" max="10244" width="11.6640625" style="113" customWidth="1"/>
    <col min="10245" max="10245" width="13.1640625" style="113" customWidth="1"/>
    <col min="10246" max="10246" width="9.83203125" style="113" customWidth="1"/>
    <col min="10247" max="10247" width="10.1640625" style="113" customWidth="1"/>
    <col min="10248" max="10248" width="17.83203125" style="113" customWidth="1"/>
    <col min="10249" max="10249" width="14.83203125" style="113" customWidth="1"/>
    <col min="10250" max="10250" width="15.5" style="113" customWidth="1"/>
    <col min="10251" max="10251" width="15.83203125" style="113" customWidth="1"/>
    <col min="10252" max="10252" width="19.1640625" style="113" customWidth="1"/>
    <col min="10253" max="10264" width="0" style="113" hidden="1" customWidth="1"/>
    <col min="10265" max="10265" width="12.33203125" style="113" customWidth="1"/>
    <col min="10266" max="10266" width="14.33203125" style="113" customWidth="1"/>
    <col min="10267" max="10267" width="12.1640625" style="113" customWidth="1"/>
    <col min="10268" max="10268" width="9.5" style="113" customWidth="1"/>
    <col min="10269" max="10269" width="1" style="113" customWidth="1"/>
    <col min="10270" max="10277" width="3.6640625" style="113" customWidth="1"/>
    <col min="10278" max="10278" width="4.6640625" style="113" bestFit="1" customWidth="1"/>
    <col min="10279" max="10323" width="3.6640625" style="113" customWidth="1"/>
    <col min="10324" max="10324" width="13.6640625" style="113" customWidth="1"/>
    <col min="10325" max="10325" width="10.83203125" style="113" customWidth="1"/>
    <col min="10326" max="10496" width="9.33203125" style="113"/>
    <col min="10497" max="10497" width="4.6640625" style="113" customWidth="1"/>
    <col min="10498" max="10498" width="40.33203125" style="113" customWidth="1"/>
    <col min="10499" max="10499" width="21.1640625" style="113" customWidth="1"/>
    <col min="10500" max="10500" width="11.6640625" style="113" customWidth="1"/>
    <col min="10501" max="10501" width="13.1640625" style="113" customWidth="1"/>
    <col min="10502" max="10502" width="9.83203125" style="113" customWidth="1"/>
    <col min="10503" max="10503" width="10.1640625" style="113" customWidth="1"/>
    <col min="10504" max="10504" width="17.83203125" style="113" customWidth="1"/>
    <col min="10505" max="10505" width="14.83203125" style="113" customWidth="1"/>
    <col min="10506" max="10506" width="15.5" style="113" customWidth="1"/>
    <col min="10507" max="10507" width="15.83203125" style="113" customWidth="1"/>
    <col min="10508" max="10508" width="19.1640625" style="113" customWidth="1"/>
    <col min="10509" max="10520" width="0" style="113" hidden="1" customWidth="1"/>
    <col min="10521" max="10521" width="12.33203125" style="113" customWidth="1"/>
    <col min="10522" max="10522" width="14.33203125" style="113" customWidth="1"/>
    <col min="10523" max="10523" width="12.1640625" style="113" customWidth="1"/>
    <col min="10524" max="10524" width="9.5" style="113" customWidth="1"/>
    <col min="10525" max="10525" width="1" style="113" customWidth="1"/>
    <col min="10526" max="10533" width="3.6640625" style="113" customWidth="1"/>
    <col min="10534" max="10534" width="4.6640625" style="113" bestFit="1" customWidth="1"/>
    <col min="10535" max="10579" width="3.6640625" style="113" customWidth="1"/>
    <col min="10580" max="10580" width="13.6640625" style="113" customWidth="1"/>
    <col min="10581" max="10581" width="10.83203125" style="113" customWidth="1"/>
    <col min="10582" max="10752" width="9.33203125" style="113"/>
    <col min="10753" max="10753" width="4.6640625" style="113" customWidth="1"/>
    <col min="10754" max="10754" width="40.33203125" style="113" customWidth="1"/>
    <col min="10755" max="10755" width="21.1640625" style="113" customWidth="1"/>
    <col min="10756" max="10756" width="11.6640625" style="113" customWidth="1"/>
    <col min="10757" max="10757" width="13.1640625" style="113" customWidth="1"/>
    <col min="10758" max="10758" width="9.83203125" style="113" customWidth="1"/>
    <col min="10759" max="10759" width="10.1640625" style="113" customWidth="1"/>
    <col min="10760" max="10760" width="17.83203125" style="113" customWidth="1"/>
    <col min="10761" max="10761" width="14.83203125" style="113" customWidth="1"/>
    <col min="10762" max="10762" width="15.5" style="113" customWidth="1"/>
    <col min="10763" max="10763" width="15.83203125" style="113" customWidth="1"/>
    <col min="10764" max="10764" width="19.1640625" style="113" customWidth="1"/>
    <col min="10765" max="10776" width="0" style="113" hidden="1" customWidth="1"/>
    <col min="10777" max="10777" width="12.33203125" style="113" customWidth="1"/>
    <col min="10778" max="10778" width="14.33203125" style="113" customWidth="1"/>
    <col min="10779" max="10779" width="12.1640625" style="113" customWidth="1"/>
    <col min="10780" max="10780" width="9.5" style="113" customWidth="1"/>
    <col min="10781" max="10781" width="1" style="113" customWidth="1"/>
    <col min="10782" max="10789" width="3.6640625" style="113" customWidth="1"/>
    <col min="10790" max="10790" width="4.6640625" style="113" bestFit="1" customWidth="1"/>
    <col min="10791" max="10835" width="3.6640625" style="113" customWidth="1"/>
    <col min="10836" max="10836" width="13.6640625" style="113" customWidth="1"/>
    <col min="10837" max="10837" width="10.83203125" style="113" customWidth="1"/>
    <col min="10838" max="11008" width="9.33203125" style="113"/>
    <col min="11009" max="11009" width="4.6640625" style="113" customWidth="1"/>
    <col min="11010" max="11010" width="40.33203125" style="113" customWidth="1"/>
    <col min="11011" max="11011" width="21.1640625" style="113" customWidth="1"/>
    <col min="11012" max="11012" width="11.6640625" style="113" customWidth="1"/>
    <col min="11013" max="11013" width="13.1640625" style="113" customWidth="1"/>
    <col min="11014" max="11014" width="9.83203125" style="113" customWidth="1"/>
    <col min="11015" max="11015" width="10.1640625" style="113" customWidth="1"/>
    <col min="11016" max="11016" width="17.83203125" style="113" customWidth="1"/>
    <col min="11017" max="11017" width="14.83203125" style="113" customWidth="1"/>
    <col min="11018" max="11018" width="15.5" style="113" customWidth="1"/>
    <col min="11019" max="11019" width="15.83203125" style="113" customWidth="1"/>
    <col min="11020" max="11020" width="19.1640625" style="113" customWidth="1"/>
    <col min="11021" max="11032" width="0" style="113" hidden="1" customWidth="1"/>
    <col min="11033" max="11033" width="12.33203125" style="113" customWidth="1"/>
    <col min="11034" max="11034" width="14.33203125" style="113" customWidth="1"/>
    <col min="11035" max="11035" width="12.1640625" style="113" customWidth="1"/>
    <col min="11036" max="11036" width="9.5" style="113" customWidth="1"/>
    <col min="11037" max="11037" width="1" style="113" customWidth="1"/>
    <col min="11038" max="11045" width="3.6640625" style="113" customWidth="1"/>
    <col min="11046" max="11046" width="4.6640625" style="113" bestFit="1" customWidth="1"/>
    <col min="11047" max="11091" width="3.6640625" style="113" customWidth="1"/>
    <col min="11092" max="11092" width="13.6640625" style="113" customWidth="1"/>
    <col min="11093" max="11093" width="10.83203125" style="113" customWidth="1"/>
    <col min="11094" max="11264" width="9.33203125" style="113"/>
    <col min="11265" max="11265" width="4.6640625" style="113" customWidth="1"/>
    <col min="11266" max="11266" width="40.33203125" style="113" customWidth="1"/>
    <col min="11267" max="11267" width="21.1640625" style="113" customWidth="1"/>
    <col min="11268" max="11268" width="11.6640625" style="113" customWidth="1"/>
    <col min="11269" max="11269" width="13.1640625" style="113" customWidth="1"/>
    <col min="11270" max="11270" width="9.83203125" style="113" customWidth="1"/>
    <col min="11271" max="11271" width="10.1640625" style="113" customWidth="1"/>
    <col min="11272" max="11272" width="17.83203125" style="113" customWidth="1"/>
    <col min="11273" max="11273" width="14.83203125" style="113" customWidth="1"/>
    <col min="11274" max="11274" width="15.5" style="113" customWidth="1"/>
    <col min="11275" max="11275" width="15.83203125" style="113" customWidth="1"/>
    <col min="11276" max="11276" width="19.1640625" style="113" customWidth="1"/>
    <col min="11277" max="11288" width="0" style="113" hidden="1" customWidth="1"/>
    <col min="11289" max="11289" width="12.33203125" style="113" customWidth="1"/>
    <col min="11290" max="11290" width="14.33203125" style="113" customWidth="1"/>
    <col min="11291" max="11291" width="12.1640625" style="113" customWidth="1"/>
    <col min="11292" max="11292" width="9.5" style="113" customWidth="1"/>
    <col min="11293" max="11293" width="1" style="113" customWidth="1"/>
    <col min="11294" max="11301" width="3.6640625" style="113" customWidth="1"/>
    <col min="11302" max="11302" width="4.6640625" style="113" bestFit="1" customWidth="1"/>
    <col min="11303" max="11347" width="3.6640625" style="113" customWidth="1"/>
    <col min="11348" max="11348" width="13.6640625" style="113" customWidth="1"/>
    <col min="11349" max="11349" width="10.83203125" style="113" customWidth="1"/>
    <col min="11350" max="11520" width="9.33203125" style="113"/>
    <col min="11521" max="11521" width="4.6640625" style="113" customWidth="1"/>
    <col min="11522" max="11522" width="40.33203125" style="113" customWidth="1"/>
    <col min="11523" max="11523" width="21.1640625" style="113" customWidth="1"/>
    <col min="11524" max="11524" width="11.6640625" style="113" customWidth="1"/>
    <col min="11525" max="11525" width="13.1640625" style="113" customWidth="1"/>
    <col min="11526" max="11526" width="9.83203125" style="113" customWidth="1"/>
    <col min="11527" max="11527" width="10.1640625" style="113" customWidth="1"/>
    <col min="11528" max="11528" width="17.83203125" style="113" customWidth="1"/>
    <col min="11529" max="11529" width="14.83203125" style="113" customWidth="1"/>
    <col min="11530" max="11530" width="15.5" style="113" customWidth="1"/>
    <col min="11531" max="11531" width="15.83203125" style="113" customWidth="1"/>
    <col min="11532" max="11532" width="19.1640625" style="113" customWidth="1"/>
    <col min="11533" max="11544" width="0" style="113" hidden="1" customWidth="1"/>
    <col min="11545" max="11545" width="12.33203125" style="113" customWidth="1"/>
    <col min="11546" max="11546" width="14.33203125" style="113" customWidth="1"/>
    <col min="11547" max="11547" width="12.1640625" style="113" customWidth="1"/>
    <col min="11548" max="11548" width="9.5" style="113" customWidth="1"/>
    <col min="11549" max="11549" width="1" style="113" customWidth="1"/>
    <col min="11550" max="11557" width="3.6640625" style="113" customWidth="1"/>
    <col min="11558" max="11558" width="4.6640625" style="113" bestFit="1" customWidth="1"/>
    <col min="11559" max="11603" width="3.6640625" style="113" customWidth="1"/>
    <col min="11604" max="11604" width="13.6640625" style="113" customWidth="1"/>
    <col min="11605" max="11605" width="10.83203125" style="113" customWidth="1"/>
    <col min="11606" max="11776" width="9.33203125" style="113"/>
    <col min="11777" max="11777" width="4.6640625" style="113" customWidth="1"/>
    <col min="11778" max="11778" width="40.33203125" style="113" customWidth="1"/>
    <col min="11779" max="11779" width="21.1640625" style="113" customWidth="1"/>
    <col min="11780" max="11780" width="11.6640625" style="113" customWidth="1"/>
    <col min="11781" max="11781" width="13.1640625" style="113" customWidth="1"/>
    <col min="11782" max="11782" width="9.83203125" style="113" customWidth="1"/>
    <col min="11783" max="11783" width="10.1640625" style="113" customWidth="1"/>
    <col min="11784" max="11784" width="17.83203125" style="113" customWidth="1"/>
    <col min="11785" max="11785" width="14.83203125" style="113" customWidth="1"/>
    <col min="11786" max="11786" width="15.5" style="113" customWidth="1"/>
    <col min="11787" max="11787" width="15.83203125" style="113" customWidth="1"/>
    <col min="11788" max="11788" width="19.1640625" style="113" customWidth="1"/>
    <col min="11789" max="11800" width="0" style="113" hidden="1" customWidth="1"/>
    <col min="11801" max="11801" width="12.33203125" style="113" customWidth="1"/>
    <col min="11802" max="11802" width="14.33203125" style="113" customWidth="1"/>
    <col min="11803" max="11803" width="12.1640625" style="113" customWidth="1"/>
    <col min="11804" max="11804" width="9.5" style="113" customWidth="1"/>
    <col min="11805" max="11805" width="1" style="113" customWidth="1"/>
    <col min="11806" max="11813" width="3.6640625" style="113" customWidth="1"/>
    <col min="11814" max="11814" width="4.6640625" style="113" bestFit="1" customWidth="1"/>
    <col min="11815" max="11859" width="3.6640625" style="113" customWidth="1"/>
    <col min="11860" max="11860" width="13.6640625" style="113" customWidth="1"/>
    <col min="11861" max="11861" width="10.83203125" style="113" customWidth="1"/>
    <col min="11862" max="12032" width="9.33203125" style="113"/>
    <col min="12033" max="12033" width="4.6640625" style="113" customWidth="1"/>
    <col min="12034" max="12034" width="40.33203125" style="113" customWidth="1"/>
    <col min="12035" max="12035" width="21.1640625" style="113" customWidth="1"/>
    <col min="12036" max="12036" width="11.6640625" style="113" customWidth="1"/>
    <col min="12037" max="12037" width="13.1640625" style="113" customWidth="1"/>
    <col min="12038" max="12038" width="9.83203125" style="113" customWidth="1"/>
    <col min="12039" max="12039" width="10.1640625" style="113" customWidth="1"/>
    <col min="12040" max="12040" width="17.83203125" style="113" customWidth="1"/>
    <col min="12041" max="12041" width="14.83203125" style="113" customWidth="1"/>
    <col min="12042" max="12042" width="15.5" style="113" customWidth="1"/>
    <col min="12043" max="12043" width="15.83203125" style="113" customWidth="1"/>
    <col min="12044" max="12044" width="19.1640625" style="113" customWidth="1"/>
    <col min="12045" max="12056" width="0" style="113" hidden="1" customWidth="1"/>
    <col min="12057" max="12057" width="12.33203125" style="113" customWidth="1"/>
    <col min="12058" max="12058" width="14.33203125" style="113" customWidth="1"/>
    <col min="12059" max="12059" width="12.1640625" style="113" customWidth="1"/>
    <col min="12060" max="12060" width="9.5" style="113" customWidth="1"/>
    <col min="12061" max="12061" width="1" style="113" customWidth="1"/>
    <col min="12062" max="12069" width="3.6640625" style="113" customWidth="1"/>
    <col min="12070" max="12070" width="4.6640625" style="113" bestFit="1" customWidth="1"/>
    <col min="12071" max="12115" width="3.6640625" style="113" customWidth="1"/>
    <col min="12116" max="12116" width="13.6640625" style="113" customWidth="1"/>
    <col min="12117" max="12117" width="10.83203125" style="113" customWidth="1"/>
    <col min="12118" max="12288" width="9.33203125" style="113"/>
    <col min="12289" max="12289" width="4.6640625" style="113" customWidth="1"/>
    <col min="12290" max="12290" width="40.33203125" style="113" customWidth="1"/>
    <col min="12291" max="12291" width="21.1640625" style="113" customWidth="1"/>
    <col min="12292" max="12292" width="11.6640625" style="113" customWidth="1"/>
    <col min="12293" max="12293" width="13.1640625" style="113" customWidth="1"/>
    <col min="12294" max="12294" width="9.83203125" style="113" customWidth="1"/>
    <col min="12295" max="12295" width="10.1640625" style="113" customWidth="1"/>
    <col min="12296" max="12296" width="17.83203125" style="113" customWidth="1"/>
    <col min="12297" max="12297" width="14.83203125" style="113" customWidth="1"/>
    <col min="12298" max="12298" width="15.5" style="113" customWidth="1"/>
    <col min="12299" max="12299" width="15.83203125" style="113" customWidth="1"/>
    <col min="12300" max="12300" width="19.1640625" style="113" customWidth="1"/>
    <col min="12301" max="12312" width="0" style="113" hidden="1" customWidth="1"/>
    <col min="12313" max="12313" width="12.33203125" style="113" customWidth="1"/>
    <col min="12314" max="12314" width="14.33203125" style="113" customWidth="1"/>
    <col min="12315" max="12315" width="12.1640625" style="113" customWidth="1"/>
    <col min="12316" max="12316" width="9.5" style="113" customWidth="1"/>
    <col min="12317" max="12317" width="1" style="113" customWidth="1"/>
    <col min="12318" max="12325" width="3.6640625" style="113" customWidth="1"/>
    <col min="12326" max="12326" width="4.6640625" style="113" bestFit="1" customWidth="1"/>
    <col min="12327" max="12371" width="3.6640625" style="113" customWidth="1"/>
    <col min="12372" max="12372" width="13.6640625" style="113" customWidth="1"/>
    <col min="12373" max="12373" width="10.83203125" style="113" customWidth="1"/>
    <col min="12374" max="12544" width="9.33203125" style="113"/>
    <col min="12545" max="12545" width="4.6640625" style="113" customWidth="1"/>
    <col min="12546" max="12546" width="40.33203125" style="113" customWidth="1"/>
    <col min="12547" max="12547" width="21.1640625" style="113" customWidth="1"/>
    <col min="12548" max="12548" width="11.6640625" style="113" customWidth="1"/>
    <col min="12549" max="12549" width="13.1640625" style="113" customWidth="1"/>
    <col min="12550" max="12550" width="9.83203125" style="113" customWidth="1"/>
    <col min="12551" max="12551" width="10.1640625" style="113" customWidth="1"/>
    <col min="12552" max="12552" width="17.83203125" style="113" customWidth="1"/>
    <col min="12553" max="12553" width="14.83203125" style="113" customWidth="1"/>
    <col min="12554" max="12554" width="15.5" style="113" customWidth="1"/>
    <col min="12555" max="12555" width="15.83203125" style="113" customWidth="1"/>
    <col min="12556" max="12556" width="19.1640625" style="113" customWidth="1"/>
    <col min="12557" max="12568" width="0" style="113" hidden="1" customWidth="1"/>
    <col min="12569" max="12569" width="12.33203125" style="113" customWidth="1"/>
    <col min="12570" max="12570" width="14.33203125" style="113" customWidth="1"/>
    <col min="12571" max="12571" width="12.1640625" style="113" customWidth="1"/>
    <col min="12572" max="12572" width="9.5" style="113" customWidth="1"/>
    <col min="12573" max="12573" width="1" style="113" customWidth="1"/>
    <col min="12574" max="12581" width="3.6640625" style="113" customWidth="1"/>
    <col min="12582" max="12582" width="4.6640625" style="113" bestFit="1" customWidth="1"/>
    <col min="12583" max="12627" width="3.6640625" style="113" customWidth="1"/>
    <col min="12628" max="12628" width="13.6640625" style="113" customWidth="1"/>
    <col min="12629" max="12629" width="10.83203125" style="113" customWidth="1"/>
    <col min="12630" max="12800" width="9.33203125" style="113"/>
    <col min="12801" max="12801" width="4.6640625" style="113" customWidth="1"/>
    <col min="12802" max="12802" width="40.33203125" style="113" customWidth="1"/>
    <col min="12803" max="12803" width="21.1640625" style="113" customWidth="1"/>
    <col min="12804" max="12804" width="11.6640625" style="113" customWidth="1"/>
    <col min="12805" max="12805" width="13.1640625" style="113" customWidth="1"/>
    <col min="12806" max="12806" width="9.83203125" style="113" customWidth="1"/>
    <col min="12807" max="12807" width="10.1640625" style="113" customWidth="1"/>
    <col min="12808" max="12808" width="17.83203125" style="113" customWidth="1"/>
    <col min="12809" max="12809" width="14.83203125" style="113" customWidth="1"/>
    <col min="12810" max="12810" width="15.5" style="113" customWidth="1"/>
    <col min="12811" max="12811" width="15.83203125" style="113" customWidth="1"/>
    <col min="12812" max="12812" width="19.1640625" style="113" customWidth="1"/>
    <col min="12813" max="12824" width="0" style="113" hidden="1" customWidth="1"/>
    <col min="12825" max="12825" width="12.33203125" style="113" customWidth="1"/>
    <col min="12826" max="12826" width="14.33203125" style="113" customWidth="1"/>
    <col min="12827" max="12827" width="12.1640625" style="113" customWidth="1"/>
    <col min="12828" max="12828" width="9.5" style="113" customWidth="1"/>
    <col min="12829" max="12829" width="1" style="113" customWidth="1"/>
    <col min="12830" max="12837" width="3.6640625" style="113" customWidth="1"/>
    <col min="12838" max="12838" width="4.6640625" style="113" bestFit="1" customWidth="1"/>
    <col min="12839" max="12883" width="3.6640625" style="113" customWidth="1"/>
    <col min="12884" max="12884" width="13.6640625" style="113" customWidth="1"/>
    <col min="12885" max="12885" width="10.83203125" style="113" customWidth="1"/>
    <col min="12886" max="13056" width="9.33203125" style="113"/>
    <col min="13057" max="13057" width="4.6640625" style="113" customWidth="1"/>
    <col min="13058" max="13058" width="40.33203125" style="113" customWidth="1"/>
    <col min="13059" max="13059" width="21.1640625" style="113" customWidth="1"/>
    <col min="13060" max="13060" width="11.6640625" style="113" customWidth="1"/>
    <col min="13061" max="13061" width="13.1640625" style="113" customWidth="1"/>
    <col min="13062" max="13062" width="9.83203125" style="113" customWidth="1"/>
    <col min="13063" max="13063" width="10.1640625" style="113" customWidth="1"/>
    <col min="13064" max="13064" width="17.83203125" style="113" customWidth="1"/>
    <col min="13065" max="13065" width="14.83203125" style="113" customWidth="1"/>
    <col min="13066" max="13066" width="15.5" style="113" customWidth="1"/>
    <col min="13067" max="13067" width="15.83203125" style="113" customWidth="1"/>
    <col min="13068" max="13068" width="19.1640625" style="113" customWidth="1"/>
    <col min="13069" max="13080" width="0" style="113" hidden="1" customWidth="1"/>
    <col min="13081" max="13081" width="12.33203125" style="113" customWidth="1"/>
    <col min="13082" max="13082" width="14.33203125" style="113" customWidth="1"/>
    <col min="13083" max="13083" width="12.1640625" style="113" customWidth="1"/>
    <col min="13084" max="13084" width="9.5" style="113" customWidth="1"/>
    <col min="13085" max="13085" width="1" style="113" customWidth="1"/>
    <col min="13086" max="13093" width="3.6640625" style="113" customWidth="1"/>
    <col min="13094" max="13094" width="4.6640625" style="113" bestFit="1" customWidth="1"/>
    <col min="13095" max="13139" width="3.6640625" style="113" customWidth="1"/>
    <col min="13140" max="13140" width="13.6640625" style="113" customWidth="1"/>
    <col min="13141" max="13141" width="10.83203125" style="113" customWidth="1"/>
    <col min="13142" max="13312" width="9.33203125" style="113"/>
    <col min="13313" max="13313" width="4.6640625" style="113" customWidth="1"/>
    <col min="13314" max="13314" width="40.33203125" style="113" customWidth="1"/>
    <col min="13315" max="13315" width="21.1640625" style="113" customWidth="1"/>
    <col min="13316" max="13316" width="11.6640625" style="113" customWidth="1"/>
    <col min="13317" max="13317" width="13.1640625" style="113" customWidth="1"/>
    <col min="13318" max="13318" width="9.83203125" style="113" customWidth="1"/>
    <col min="13319" max="13319" width="10.1640625" style="113" customWidth="1"/>
    <col min="13320" max="13320" width="17.83203125" style="113" customWidth="1"/>
    <col min="13321" max="13321" width="14.83203125" style="113" customWidth="1"/>
    <col min="13322" max="13322" width="15.5" style="113" customWidth="1"/>
    <col min="13323" max="13323" width="15.83203125" style="113" customWidth="1"/>
    <col min="13324" max="13324" width="19.1640625" style="113" customWidth="1"/>
    <col min="13325" max="13336" width="0" style="113" hidden="1" customWidth="1"/>
    <col min="13337" max="13337" width="12.33203125" style="113" customWidth="1"/>
    <col min="13338" max="13338" width="14.33203125" style="113" customWidth="1"/>
    <col min="13339" max="13339" width="12.1640625" style="113" customWidth="1"/>
    <col min="13340" max="13340" width="9.5" style="113" customWidth="1"/>
    <col min="13341" max="13341" width="1" style="113" customWidth="1"/>
    <col min="13342" max="13349" width="3.6640625" style="113" customWidth="1"/>
    <col min="13350" max="13350" width="4.6640625" style="113" bestFit="1" customWidth="1"/>
    <col min="13351" max="13395" width="3.6640625" style="113" customWidth="1"/>
    <col min="13396" max="13396" width="13.6640625" style="113" customWidth="1"/>
    <col min="13397" max="13397" width="10.83203125" style="113" customWidth="1"/>
    <col min="13398" max="13568" width="9.33203125" style="113"/>
    <col min="13569" max="13569" width="4.6640625" style="113" customWidth="1"/>
    <col min="13570" max="13570" width="40.33203125" style="113" customWidth="1"/>
    <col min="13571" max="13571" width="21.1640625" style="113" customWidth="1"/>
    <col min="13572" max="13572" width="11.6640625" style="113" customWidth="1"/>
    <col min="13573" max="13573" width="13.1640625" style="113" customWidth="1"/>
    <col min="13574" max="13574" width="9.83203125" style="113" customWidth="1"/>
    <col min="13575" max="13575" width="10.1640625" style="113" customWidth="1"/>
    <col min="13576" max="13576" width="17.83203125" style="113" customWidth="1"/>
    <col min="13577" max="13577" width="14.83203125" style="113" customWidth="1"/>
    <col min="13578" max="13578" width="15.5" style="113" customWidth="1"/>
    <col min="13579" max="13579" width="15.83203125" style="113" customWidth="1"/>
    <col min="13580" max="13580" width="19.1640625" style="113" customWidth="1"/>
    <col min="13581" max="13592" width="0" style="113" hidden="1" customWidth="1"/>
    <col min="13593" max="13593" width="12.33203125" style="113" customWidth="1"/>
    <col min="13594" max="13594" width="14.33203125" style="113" customWidth="1"/>
    <col min="13595" max="13595" width="12.1640625" style="113" customWidth="1"/>
    <col min="13596" max="13596" width="9.5" style="113" customWidth="1"/>
    <col min="13597" max="13597" width="1" style="113" customWidth="1"/>
    <col min="13598" max="13605" width="3.6640625" style="113" customWidth="1"/>
    <col min="13606" max="13606" width="4.6640625" style="113" bestFit="1" customWidth="1"/>
    <col min="13607" max="13651" width="3.6640625" style="113" customWidth="1"/>
    <col min="13652" max="13652" width="13.6640625" style="113" customWidth="1"/>
    <col min="13653" max="13653" width="10.83203125" style="113" customWidth="1"/>
    <col min="13654" max="13824" width="9.33203125" style="113"/>
    <col min="13825" max="13825" width="4.6640625" style="113" customWidth="1"/>
    <col min="13826" max="13826" width="40.33203125" style="113" customWidth="1"/>
    <col min="13827" max="13827" width="21.1640625" style="113" customWidth="1"/>
    <col min="13828" max="13828" width="11.6640625" style="113" customWidth="1"/>
    <col min="13829" max="13829" width="13.1640625" style="113" customWidth="1"/>
    <col min="13830" max="13830" width="9.83203125" style="113" customWidth="1"/>
    <col min="13831" max="13831" width="10.1640625" style="113" customWidth="1"/>
    <col min="13832" max="13832" width="17.83203125" style="113" customWidth="1"/>
    <col min="13833" max="13833" width="14.83203125" style="113" customWidth="1"/>
    <col min="13834" max="13834" width="15.5" style="113" customWidth="1"/>
    <col min="13835" max="13835" width="15.83203125" style="113" customWidth="1"/>
    <col min="13836" max="13836" width="19.1640625" style="113" customWidth="1"/>
    <col min="13837" max="13848" width="0" style="113" hidden="1" customWidth="1"/>
    <col min="13849" max="13849" width="12.33203125" style="113" customWidth="1"/>
    <col min="13850" max="13850" width="14.33203125" style="113" customWidth="1"/>
    <col min="13851" max="13851" width="12.1640625" style="113" customWidth="1"/>
    <col min="13852" max="13852" width="9.5" style="113" customWidth="1"/>
    <col min="13853" max="13853" width="1" style="113" customWidth="1"/>
    <col min="13854" max="13861" width="3.6640625" style="113" customWidth="1"/>
    <col min="13862" max="13862" width="4.6640625" style="113" bestFit="1" customWidth="1"/>
    <col min="13863" max="13907" width="3.6640625" style="113" customWidth="1"/>
    <col min="13908" max="13908" width="13.6640625" style="113" customWidth="1"/>
    <col min="13909" max="13909" width="10.83203125" style="113" customWidth="1"/>
    <col min="13910" max="14080" width="9.33203125" style="113"/>
    <col min="14081" max="14081" width="4.6640625" style="113" customWidth="1"/>
    <col min="14082" max="14082" width="40.33203125" style="113" customWidth="1"/>
    <col min="14083" max="14083" width="21.1640625" style="113" customWidth="1"/>
    <col min="14084" max="14084" width="11.6640625" style="113" customWidth="1"/>
    <col min="14085" max="14085" width="13.1640625" style="113" customWidth="1"/>
    <col min="14086" max="14086" width="9.83203125" style="113" customWidth="1"/>
    <col min="14087" max="14087" width="10.1640625" style="113" customWidth="1"/>
    <col min="14088" max="14088" width="17.83203125" style="113" customWidth="1"/>
    <col min="14089" max="14089" width="14.83203125" style="113" customWidth="1"/>
    <col min="14090" max="14090" width="15.5" style="113" customWidth="1"/>
    <col min="14091" max="14091" width="15.83203125" style="113" customWidth="1"/>
    <col min="14092" max="14092" width="19.1640625" style="113" customWidth="1"/>
    <col min="14093" max="14104" width="0" style="113" hidden="1" customWidth="1"/>
    <col min="14105" max="14105" width="12.33203125" style="113" customWidth="1"/>
    <col min="14106" max="14106" width="14.33203125" style="113" customWidth="1"/>
    <col min="14107" max="14107" width="12.1640625" style="113" customWidth="1"/>
    <col min="14108" max="14108" width="9.5" style="113" customWidth="1"/>
    <col min="14109" max="14109" width="1" style="113" customWidth="1"/>
    <col min="14110" max="14117" width="3.6640625" style="113" customWidth="1"/>
    <col min="14118" max="14118" width="4.6640625" style="113" bestFit="1" customWidth="1"/>
    <col min="14119" max="14163" width="3.6640625" style="113" customWidth="1"/>
    <col min="14164" max="14164" width="13.6640625" style="113" customWidth="1"/>
    <col min="14165" max="14165" width="10.83203125" style="113" customWidth="1"/>
    <col min="14166" max="14336" width="9.33203125" style="113"/>
    <col min="14337" max="14337" width="4.6640625" style="113" customWidth="1"/>
    <col min="14338" max="14338" width="40.33203125" style="113" customWidth="1"/>
    <col min="14339" max="14339" width="21.1640625" style="113" customWidth="1"/>
    <col min="14340" max="14340" width="11.6640625" style="113" customWidth="1"/>
    <col min="14341" max="14341" width="13.1640625" style="113" customWidth="1"/>
    <col min="14342" max="14342" width="9.83203125" style="113" customWidth="1"/>
    <col min="14343" max="14343" width="10.1640625" style="113" customWidth="1"/>
    <col min="14344" max="14344" width="17.83203125" style="113" customWidth="1"/>
    <col min="14345" max="14345" width="14.83203125" style="113" customWidth="1"/>
    <col min="14346" max="14346" width="15.5" style="113" customWidth="1"/>
    <col min="14347" max="14347" width="15.83203125" style="113" customWidth="1"/>
    <col min="14348" max="14348" width="19.1640625" style="113" customWidth="1"/>
    <col min="14349" max="14360" width="0" style="113" hidden="1" customWidth="1"/>
    <col min="14361" max="14361" width="12.33203125" style="113" customWidth="1"/>
    <col min="14362" max="14362" width="14.33203125" style="113" customWidth="1"/>
    <col min="14363" max="14363" width="12.1640625" style="113" customWidth="1"/>
    <col min="14364" max="14364" width="9.5" style="113" customWidth="1"/>
    <col min="14365" max="14365" width="1" style="113" customWidth="1"/>
    <col min="14366" max="14373" width="3.6640625" style="113" customWidth="1"/>
    <col min="14374" max="14374" width="4.6640625" style="113" bestFit="1" customWidth="1"/>
    <col min="14375" max="14419" width="3.6640625" style="113" customWidth="1"/>
    <col min="14420" max="14420" width="13.6640625" style="113" customWidth="1"/>
    <col min="14421" max="14421" width="10.83203125" style="113" customWidth="1"/>
    <col min="14422" max="14592" width="9.33203125" style="113"/>
    <col min="14593" max="14593" width="4.6640625" style="113" customWidth="1"/>
    <col min="14594" max="14594" width="40.33203125" style="113" customWidth="1"/>
    <col min="14595" max="14595" width="21.1640625" style="113" customWidth="1"/>
    <col min="14596" max="14596" width="11.6640625" style="113" customWidth="1"/>
    <col min="14597" max="14597" width="13.1640625" style="113" customWidth="1"/>
    <col min="14598" max="14598" width="9.83203125" style="113" customWidth="1"/>
    <col min="14599" max="14599" width="10.1640625" style="113" customWidth="1"/>
    <col min="14600" max="14600" width="17.83203125" style="113" customWidth="1"/>
    <col min="14601" max="14601" width="14.83203125" style="113" customWidth="1"/>
    <col min="14602" max="14602" width="15.5" style="113" customWidth="1"/>
    <col min="14603" max="14603" width="15.83203125" style="113" customWidth="1"/>
    <col min="14604" max="14604" width="19.1640625" style="113" customWidth="1"/>
    <col min="14605" max="14616" width="0" style="113" hidden="1" customWidth="1"/>
    <col min="14617" max="14617" width="12.33203125" style="113" customWidth="1"/>
    <col min="14618" max="14618" width="14.33203125" style="113" customWidth="1"/>
    <col min="14619" max="14619" width="12.1640625" style="113" customWidth="1"/>
    <col min="14620" max="14620" width="9.5" style="113" customWidth="1"/>
    <col min="14621" max="14621" width="1" style="113" customWidth="1"/>
    <col min="14622" max="14629" width="3.6640625" style="113" customWidth="1"/>
    <col min="14630" max="14630" width="4.6640625" style="113" bestFit="1" customWidth="1"/>
    <col min="14631" max="14675" width="3.6640625" style="113" customWidth="1"/>
    <col min="14676" max="14676" width="13.6640625" style="113" customWidth="1"/>
    <col min="14677" max="14677" width="10.83203125" style="113" customWidth="1"/>
    <col min="14678" max="14848" width="9.33203125" style="113"/>
    <col min="14849" max="14849" width="4.6640625" style="113" customWidth="1"/>
    <col min="14850" max="14850" width="40.33203125" style="113" customWidth="1"/>
    <col min="14851" max="14851" width="21.1640625" style="113" customWidth="1"/>
    <col min="14852" max="14852" width="11.6640625" style="113" customWidth="1"/>
    <col min="14853" max="14853" width="13.1640625" style="113" customWidth="1"/>
    <col min="14854" max="14854" width="9.83203125" style="113" customWidth="1"/>
    <col min="14855" max="14855" width="10.1640625" style="113" customWidth="1"/>
    <col min="14856" max="14856" width="17.83203125" style="113" customWidth="1"/>
    <col min="14857" max="14857" width="14.83203125" style="113" customWidth="1"/>
    <col min="14858" max="14858" width="15.5" style="113" customWidth="1"/>
    <col min="14859" max="14859" width="15.83203125" style="113" customWidth="1"/>
    <col min="14860" max="14860" width="19.1640625" style="113" customWidth="1"/>
    <col min="14861" max="14872" width="0" style="113" hidden="1" customWidth="1"/>
    <col min="14873" max="14873" width="12.33203125" style="113" customWidth="1"/>
    <col min="14874" max="14874" width="14.33203125" style="113" customWidth="1"/>
    <col min="14875" max="14875" width="12.1640625" style="113" customWidth="1"/>
    <col min="14876" max="14876" width="9.5" style="113" customWidth="1"/>
    <col min="14877" max="14877" width="1" style="113" customWidth="1"/>
    <col min="14878" max="14885" width="3.6640625" style="113" customWidth="1"/>
    <col min="14886" max="14886" width="4.6640625" style="113" bestFit="1" customWidth="1"/>
    <col min="14887" max="14931" width="3.6640625" style="113" customWidth="1"/>
    <col min="14932" max="14932" width="13.6640625" style="113" customWidth="1"/>
    <col min="14933" max="14933" width="10.83203125" style="113" customWidth="1"/>
    <col min="14934" max="15104" width="9.33203125" style="113"/>
    <col min="15105" max="15105" width="4.6640625" style="113" customWidth="1"/>
    <col min="15106" max="15106" width="40.33203125" style="113" customWidth="1"/>
    <col min="15107" max="15107" width="21.1640625" style="113" customWidth="1"/>
    <col min="15108" max="15108" width="11.6640625" style="113" customWidth="1"/>
    <col min="15109" max="15109" width="13.1640625" style="113" customWidth="1"/>
    <col min="15110" max="15110" width="9.83203125" style="113" customWidth="1"/>
    <col min="15111" max="15111" width="10.1640625" style="113" customWidth="1"/>
    <col min="15112" max="15112" width="17.83203125" style="113" customWidth="1"/>
    <col min="15113" max="15113" width="14.83203125" style="113" customWidth="1"/>
    <col min="15114" max="15114" width="15.5" style="113" customWidth="1"/>
    <col min="15115" max="15115" width="15.83203125" style="113" customWidth="1"/>
    <col min="15116" max="15116" width="19.1640625" style="113" customWidth="1"/>
    <col min="15117" max="15128" width="0" style="113" hidden="1" customWidth="1"/>
    <col min="15129" max="15129" width="12.33203125" style="113" customWidth="1"/>
    <col min="15130" max="15130" width="14.33203125" style="113" customWidth="1"/>
    <col min="15131" max="15131" width="12.1640625" style="113" customWidth="1"/>
    <col min="15132" max="15132" width="9.5" style="113" customWidth="1"/>
    <col min="15133" max="15133" width="1" style="113" customWidth="1"/>
    <col min="15134" max="15141" width="3.6640625" style="113" customWidth="1"/>
    <col min="15142" max="15142" width="4.6640625" style="113" bestFit="1" customWidth="1"/>
    <col min="15143" max="15187" width="3.6640625" style="113" customWidth="1"/>
    <col min="15188" max="15188" width="13.6640625" style="113" customWidth="1"/>
    <col min="15189" max="15189" width="10.83203125" style="113" customWidth="1"/>
    <col min="15190" max="15360" width="9.33203125" style="113"/>
    <col min="15361" max="15361" width="4.6640625" style="113" customWidth="1"/>
    <col min="15362" max="15362" width="40.33203125" style="113" customWidth="1"/>
    <col min="15363" max="15363" width="21.1640625" style="113" customWidth="1"/>
    <col min="15364" max="15364" width="11.6640625" style="113" customWidth="1"/>
    <col min="15365" max="15365" width="13.1640625" style="113" customWidth="1"/>
    <col min="15366" max="15366" width="9.83203125" style="113" customWidth="1"/>
    <col min="15367" max="15367" width="10.1640625" style="113" customWidth="1"/>
    <col min="15368" max="15368" width="17.83203125" style="113" customWidth="1"/>
    <col min="15369" max="15369" width="14.83203125" style="113" customWidth="1"/>
    <col min="15370" max="15370" width="15.5" style="113" customWidth="1"/>
    <col min="15371" max="15371" width="15.83203125" style="113" customWidth="1"/>
    <col min="15372" max="15372" width="19.1640625" style="113" customWidth="1"/>
    <col min="15373" max="15384" width="0" style="113" hidden="1" customWidth="1"/>
    <col min="15385" max="15385" width="12.33203125" style="113" customWidth="1"/>
    <col min="15386" max="15386" width="14.33203125" style="113" customWidth="1"/>
    <col min="15387" max="15387" width="12.1640625" style="113" customWidth="1"/>
    <col min="15388" max="15388" width="9.5" style="113" customWidth="1"/>
    <col min="15389" max="15389" width="1" style="113" customWidth="1"/>
    <col min="15390" max="15397" width="3.6640625" style="113" customWidth="1"/>
    <col min="15398" max="15398" width="4.6640625" style="113" bestFit="1" customWidth="1"/>
    <col min="15399" max="15443" width="3.6640625" style="113" customWidth="1"/>
    <col min="15444" max="15444" width="13.6640625" style="113" customWidth="1"/>
    <col min="15445" max="15445" width="10.83203125" style="113" customWidth="1"/>
    <col min="15446" max="15616" width="9.33203125" style="113"/>
    <col min="15617" max="15617" width="4.6640625" style="113" customWidth="1"/>
    <col min="15618" max="15618" width="40.33203125" style="113" customWidth="1"/>
    <col min="15619" max="15619" width="21.1640625" style="113" customWidth="1"/>
    <col min="15620" max="15620" width="11.6640625" style="113" customWidth="1"/>
    <col min="15621" max="15621" width="13.1640625" style="113" customWidth="1"/>
    <col min="15622" max="15622" width="9.83203125" style="113" customWidth="1"/>
    <col min="15623" max="15623" width="10.1640625" style="113" customWidth="1"/>
    <col min="15624" max="15624" width="17.83203125" style="113" customWidth="1"/>
    <col min="15625" max="15625" width="14.83203125" style="113" customWidth="1"/>
    <col min="15626" max="15626" width="15.5" style="113" customWidth="1"/>
    <col min="15627" max="15627" width="15.83203125" style="113" customWidth="1"/>
    <col min="15628" max="15628" width="19.1640625" style="113" customWidth="1"/>
    <col min="15629" max="15640" width="0" style="113" hidden="1" customWidth="1"/>
    <col min="15641" max="15641" width="12.33203125" style="113" customWidth="1"/>
    <col min="15642" max="15642" width="14.33203125" style="113" customWidth="1"/>
    <col min="15643" max="15643" width="12.1640625" style="113" customWidth="1"/>
    <col min="15644" max="15644" width="9.5" style="113" customWidth="1"/>
    <col min="15645" max="15645" width="1" style="113" customWidth="1"/>
    <col min="15646" max="15653" width="3.6640625" style="113" customWidth="1"/>
    <col min="15654" max="15654" width="4.6640625" style="113" bestFit="1" customWidth="1"/>
    <col min="15655" max="15699" width="3.6640625" style="113" customWidth="1"/>
    <col min="15700" max="15700" width="13.6640625" style="113" customWidth="1"/>
    <col min="15701" max="15701" width="10.83203125" style="113" customWidth="1"/>
    <col min="15702" max="15872" width="9.33203125" style="113"/>
    <col min="15873" max="15873" width="4.6640625" style="113" customWidth="1"/>
    <col min="15874" max="15874" width="40.33203125" style="113" customWidth="1"/>
    <col min="15875" max="15875" width="21.1640625" style="113" customWidth="1"/>
    <col min="15876" max="15876" width="11.6640625" style="113" customWidth="1"/>
    <col min="15877" max="15877" width="13.1640625" style="113" customWidth="1"/>
    <col min="15878" max="15878" width="9.83203125" style="113" customWidth="1"/>
    <col min="15879" max="15879" width="10.1640625" style="113" customWidth="1"/>
    <col min="15880" max="15880" width="17.83203125" style="113" customWidth="1"/>
    <col min="15881" max="15881" width="14.83203125" style="113" customWidth="1"/>
    <col min="15882" max="15882" width="15.5" style="113" customWidth="1"/>
    <col min="15883" max="15883" width="15.83203125" style="113" customWidth="1"/>
    <col min="15884" max="15884" width="19.1640625" style="113" customWidth="1"/>
    <col min="15885" max="15896" width="0" style="113" hidden="1" customWidth="1"/>
    <col min="15897" max="15897" width="12.33203125" style="113" customWidth="1"/>
    <col min="15898" max="15898" width="14.33203125" style="113" customWidth="1"/>
    <col min="15899" max="15899" width="12.1640625" style="113" customWidth="1"/>
    <col min="15900" max="15900" width="9.5" style="113" customWidth="1"/>
    <col min="15901" max="15901" width="1" style="113" customWidth="1"/>
    <col min="15902" max="15909" width="3.6640625" style="113" customWidth="1"/>
    <col min="15910" max="15910" width="4.6640625" style="113" bestFit="1" customWidth="1"/>
    <col min="15911" max="15955" width="3.6640625" style="113" customWidth="1"/>
    <col min="15956" max="15956" width="13.6640625" style="113" customWidth="1"/>
    <col min="15957" max="15957" width="10.83203125" style="113" customWidth="1"/>
    <col min="15958" max="16128" width="9.33203125" style="113"/>
    <col min="16129" max="16129" width="4.6640625" style="113" customWidth="1"/>
    <col min="16130" max="16130" width="40.33203125" style="113" customWidth="1"/>
    <col min="16131" max="16131" width="21.1640625" style="113" customWidth="1"/>
    <col min="16132" max="16132" width="11.6640625" style="113" customWidth="1"/>
    <col min="16133" max="16133" width="13.1640625" style="113" customWidth="1"/>
    <col min="16134" max="16134" width="9.83203125" style="113" customWidth="1"/>
    <col min="16135" max="16135" width="10.1640625" style="113" customWidth="1"/>
    <col min="16136" max="16136" width="17.83203125" style="113" customWidth="1"/>
    <col min="16137" max="16137" width="14.83203125" style="113" customWidth="1"/>
    <col min="16138" max="16138" width="15.5" style="113" customWidth="1"/>
    <col min="16139" max="16139" width="15.83203125" style="113" customWidth="1"/>
    <col min="16140" max="16140" width="19.1640625" style="113" customWidth="1"/>
    <col min="16141" max="16152" width="0" style="113" hidden="1" customWidth="1"/>
    <col min="16153" max="16153" width="12.33203125" style="113" customWidth="1"/>
    <col min="16154" max="16154" width="14.33203125" style="113" customWidth="1"/>
    <col min="16155" max="16155" width="12.1640625" style="113" customWidth="1"/>
    <col min="16156" max="16156" width="9.5" style="113" customWidth="1"/>
    <col min="16157" max="16157" width="1" style="113" customWidth="1"/>
    <col min="16158" max="16165" width="3.6640625" style="113" customWidth="1"/>
    <col min="16166" max="16166" width="4.6640625" style="113" bestFit="1" customWidth="1"/>
    <col min="16167" max="16211" width="3.6640625" style="113" customWidth="1"/>
    <col min="16212" max="16212" width="13.6640625" style="113" customWidth="1"/>
    <col min="16213" max="16213" width="10.83203125" style="113" customWidth="1"/>
    <col min="16214" max="16384" width="9.33203125" style="113"/>
  </cols>
  <sheetData>
    <row r="1" spans="1:85" ht="18" x14ac:dyDescent="0.25">
      <c r="A1" s="335" t="s">
        <v>116</v>
      </c>
      <c r="B1" s="335"/>
      <c r="C1" s="335"/>
      <c r="D1" s="336"/>
      <c r="E1" s="336"/>
      <c r="F1" s="336"/>
      <c r="G1" s="336"/>
      <c r="H1" s="336"/>
      <c r="I1" s="111" t="s">
        <v>117</v>
      </c>
      <c r="J1" s="112"/>
      <c r="K1" s="334" t="s">
        <v>118</v>
      </c>
      <c r="L1" s="334"/>
      <c r="Y1" s="114"/>
      <c r="Z1" s="115"/>
      <c r="AB1" s="116" t="s">
        <v>119</v>
      </c>
      <c r="AC1" s="116"/>
      <c r="AK1" s="117" t="s">
        <v>120</v>
      </c>
      <c r="AM1" s="116" t="s">
        <v>121</v>
      </c>
    </row>
    <row r="2" spans="1:85" ht="18" x14ac:dyDescent="0.25">
      <c r="A2" s="335" t="s">
        <v>122</v>
      </c>
      <c r="B2" s="335"/>
      <c r="C2" s="335"/>
      <c r="D2" s="336" t="str">
        <f>Расчет!D1</f>
        <v>DPD28 Контейнер металлический сетчатый</v>
      </c>
      <c r="E2" s="336"/>
      <c r="F2" s="336"/>
      <c r="G2" s="336"/>
      <c r="H2" s="336"/>
      <c r="I2" s="118" t="s">
        <v>123</v>
      </c>
      <c r="J2" s="112"/>
      <c r="K2" s="337"/>
      <c r="L2" s="337"/>
      <c r="Y2" s="119"/>
      <c r="Z2" s="120"/>
      <c r="AB2" s="116" t="s">
        <v>124</v>
      </c>
      <c r="AC2" s="116"/>
    </row>
    <row r="3" spans="1:85" ht="20.25" customHeight="1" x14ac:dyDescent="0.25">
      <c r="A3" s="340"/>
      <c r="B3" s="340"/>
      <c r="C3" s="340"/>
      <c r="D3" s="341" t="s">
        <v>125</v>
      </c>
      <c r="E3" s="341"/>
      <c r="F3" s="341"/>
      <c r="G3" s="342"/>
      <c r="H3" s="121"/>
      <c r="Y3" s="122"/>
      <c r="Z3" s="123"/>
      <c r="AB3" s="116" t="s">
        <v>126</v>
      </c>
      <c r="AC3" s="116"/>
    </row>
    <row r="4" spans="1:85" ht="0.75" customHeight="1" x14ac:dyDescent="0.2"/>
    <row r="5" spans="1:85" ht="18" x14ac:dyDescent="0.25">
      <c r="A5" s="317" t="s">
        <v>127</v>
      </c>
      <c r="B5" s="317"/>
      <c r="C5" s="317"/>
      <c r="D5" s="317"/>
      <c r="E5" s="317"/>
      <c r="F5" s="317"/>
      <c r="G5" s="317"/>
      <c r="H5" s="317"/>
      <c r="I5" s="317"/>
      <c r="J5" s="317"/>
      <c r="K5" s="317"/>
      <c r="L5" s="317"/>
      <c r="M5" s="317"/>
      <c r="N5" s="317"/>
      <c r="O5" s="317"/>
      <c r="P5" s="317"/>
      <c r="Q5" s="317"/>
      <c r="R5" s="317"/>
      <c r="S5" s="317"/>
      <c r="T5" s="317"/>
      <c r="U5" s="317"/>
      <c r="V5" s="317"/>
      <c r="W5" s="317"/>
      <c r="X5" s="317"/>
      <c r="Y5" s="317"/>
      <c r="Z5" s="317"/>
      <c r="AA5" s="317"/>
      <c r="AB5" s="124"/>
      <c r="AC5" s="124"/>
      <c r="AD5" s="124"/>
      <c r="AE5" s="317" t="s">
        <v>128</v>
      </c>
      <c r="AF5" s="317"/>
      <c r="AG5" s="317"/>
      <c r="AH5" s="317"/>
      <c r="AI5" s="317"/>
      <c r="AJ5" s="317"/>
      <c r="AK5" s="317"/>
      <c r="AL5" s="317"/>
      <c r="AM5" s="317"/>
      <c r="AN5" s="317"/>
      <c r="AO5" s="317"/>
      <c r="AP5" s="317"/>
      <c r="AQ5" s="317"/>
      <c r="AR5" s="317"/>
      <c r="AS5" s="317"/>
      <c r="AT5" s="317"/>
      <c r="AU5" s="317"/>
      <c r="AV5" s="317"/>
      <c r="AW5" s="317"/>
      <c r="AX5" s="317"/>
      <c r="AY5" s="317"/>
      <c r="AZ5" s="317"/>
      <c r="BA5" s="317"/>
      <c r="BB5" s="317"/>
      <c r="BC5" s="317"/>
      <c r="BD5" s="317"/>
      <c r="BE5" s="317"/>
      <c r="BF5" s="317"/>
      <c r="BG5" s="317"/>
      <c r="BH5" s="317"/>
      <c r="BI5" s="317"/>
      <c r="BJ5" s="317"/>
      <c r="BK5" s="317"/>
      <c r="BL5" s="317"/>
      <c r="BM5" s="317"/>
      <c r="BN5" s="317"/>
      <c r="BO5" s="317"/>
      <c r="BP5" s="317"/>
      <c r="BQ5" s="317"/>
      <c r="BR5" s="317"/>
      <c r="BS5" s="317"/>
      <c r="BT5" s="317"/>
      <c r="BU5" s="317"/>
      <c r="BV5" s="317"/>
      <c r="BW5" s="317"/>
      <c r="BX5" s="317"/>
      <c r="BY5" s="317"/>
      <c r="BZ5" s="317"/>
      <c r="CA5" s="317"/>
      <c r="CB5" s="317"/>
      <c r="CC5" s="317"/>
      <c r="CD5" s="317"/>
      <c r="CE5" s="317"/>
    </row>
    <row r="6" spans="1:85" ht="15.75" thickBot="1" x14ac:dyDescent="0.3">
      <c r="A6" s="318"/>
      <c r="B6" s="318"/>
      <c r="C6" s="318"/>
      <c r="D6" s="318"/>
      <c r="E6" s="318"/>
      <c r="F6" s="318"/>
      <c r="G6" s="318"/>
      <c r="H6" s="318"/>
      <c r="I6" s="318"/>
      <c r="J6" s="318"/>
      <c r="K6" s="318"/>
      <c r="L6" s="318"/>
      <c r="M6" s="318"/>
      <c r="N6" s="318"/>
      <c r="O6" s="318"/>
      <c r="P6" s="318"/>
      <c r="Q6" s="318"/>
      <c r="R6" s="318"/>
      <c r="S6" s="318"/>
      <c r="T6" s="318"/>
      <c r="U6" s="318"/>
      <c r="V6" s="318"/>
      <c r="W6" s="318"/>
      <c r="X6" s="318"/>
      <c r="Y6" s="318"/>
      <c r="Z6" s="318"/>
      <c r="AA6" s="318"/>
      <c r="AB6" s="318"/>
      <c r="AC6" s="318"/>
      <c r="AD6" s="318"/>
      <c r="BA6" s="116" t="s">
        <v>129</v>
      </c>
      <c r="BB6" s="116"/>
    </row>
    <row r="7" spans="1:85" x14ac:dyDescent="0.2">
      <c r="M7" s="125"/>
      <c r="N7" s="126"/>
      <c r="O7" s="126"/>
      <c r="P7" s="127"/>
      <c r="Q7" s="125"/>
      <c r="R7" s="126"/>
      <c r="S7" s="126"/>
      <c r="T7" s="127"/>
      <c r="U7" s="125"/>
      <c r="V7" s="126"/>
      <c r="W7" s="126"/>
      <c r="X7" s="127"/>
      <c r="Y7" s="125"/>
      <c r="Z7" s="126"/>
      <c r="AA7" s="126"/>
      <c r="AB7" s="127"/>
      <c r="AC7" s="128"/>
      <c r="AD7" s="129"/>
      <c r="AE7" s="129"/>
      <c r="AF7" s="129"/>
      <c r="AG7" s="129"/>
      <c r="AH7" s="129"/>
      <c r="AI7" s="129"/>
      <c r="AJ7" s="129"/>
      <c r="AK7" s="129"/>
      <c r="AL7" s="129"/>
      <c r="AM7" s="129"/>
      <c r="AN7" s="129"/>
      <c r="AO7" s="129"/>
      <c r="AP7" s="129"/>
      <c r="AQ7" s="129"/>
      <c r="AR7" s="129"/>
      <c r="AS7" s="129"/>
      <c r="AT7" s="129"/>
      <c r="AU7" s="129"/>
      <c r="AV7" s="129"/>
      <c r="AW7" s="129"/>
      <c r="AX7" s="129"/>
      <c r="AY7" s="129"/>
      <c r="AZ7" s="129"/>
      <c r="BA7" s="129"/>
      <c r="BB7" s="129"/>
      <c r="BC7" s="129"/>
      <c r="BD7" s="129"/>
      <c r="BE7" s="129"/>
      <c r="BF7" s="129"/>
      <c r="BG7" s="129"/>
      <c r="BH7" s="129"/>
      <c r="BI7" s="129"/>
      <c r="BJ7" s="129"/>
      <c r="BK7" s="129"/>
      <c r="BL7" s="129"/>
      <c r="BM7" s="129"/>
      <c r="BN7" s="129"/>
      <c r="BO7" s="129"/>
      <c r="BP7" s="129"/>
      <c r="BQ7" s="129"/>
      <c r="BR7" s="129"/>
      <c r="BS7" s="129"/>
      <c r="BT7" s="129"/>
      <c r="BU7" s="129"/>
      <c r="BV7" s="129"/>
      <c r="BW7" s="129"/>
      <c r="BX7" s="129"/>
      <c r="BY7" s="129"/>
      <c r="BZ7" s="129"/>
      <c r="CA7" s="129"/>
      <c r="CB7" s="129"/>
      <c r="CC7" s="129"/>
      <c r="CD7" s="129"/>
      <c r="CE7" s="130"/>
      <c r="CF7" s="131" t="s">
        <v>130</v>
      </c>
      <c r="CG7" s="132" t="s">
        <v>131</v>
      </c>
    </row>
    <row r="8" spans="1:85" ht="15" customHeight="1" x14ac:dyDescent="0.2">
      <c r="A8" s="321" t="s">
        <v>132</v>
      </c>
      <c r="B8" s="321" t="s">
        <v>133</v>
      </c>
      <c r="C8" s="321" t="s">
        <v>134</v>
      </c>
      <c r="D8" s="338" t="s">
        <v>135</v>
      </c>
      <c r="E8" s="321" t="s">
        <v>136</v>
      </c>
      <c r="F8" s="321" t="s">
        <v>137</v>
      </c>
      <c r="G8" s="321" t="s">
        <v>138</v>
      </c>
      <c r="H8" s="323" t="s">
        <v>139</v>
      </c>
      <c r="I8" s="325" t="s">
        <v>140</v>
      </c>
      <c r="J8" s="325" t="s">
        <v>141</v>
      </c>
      <c r="K8" s="327" t="s">
        <v>142</v>
      </c>
      <c r="L8" s="329" t="s">
        <v>143</v>
      </c>
      <c r="M8" s="331" t="s">
        <v>144</v>
      </c>
      <c r="N8" s="332"/>
      <c r="O8" s="332"/>
      <c r="P8" s="333"/>
      <c r="Q8" s="331" t="s">
        <v>145</v>
      </c>
      <c r="R8" s="332"/>
      <c r="S8" s="332"/>
      <c r="T8" s="333"/>
      <c r="U8" s="331" t="s">
        <v>146</v>
      </c>
      <c r="V8" s="332"/>
      <c r="W8" s="332"/>
      <c r="X8" s="333"/>
      <c r="Y8" s="331" t="s">
        <v>147</v>
      </c>
      <c r="Z8" s="332"/>
      <c r="AA8" s="332"/>
      <c r="AB8" s="333"/>
      <c r="AC8" s="133"/>
      <c r="AD8" s="319" t="s">
        <v>148</v>
      </c>
      <c r="AE8" s="319"/>
      <c r="AF8" s="319"/>
      <c r="AG8" s="319"/>
      <c r="AH8" s="319"/>
      <c r="AI8" s="319"/>
      <c r="AJ8" s="319"/>
      <c r="AK8" s="319"/>
      <c r="AL8" s="319"/>
      <c r="AM8" s="319"/>
      <c r="AN8" s="319"/>
      <c r="AO8" s="319"/>
      <c r="AP8" s="319"/>
      <c r="AQ8" s="319"/>
      <c r="AR8" s="319"/>
      <c r="AS8" s="319"/>
      <c r="AT8" s="319"/>
      <c r="AU8" s="319"/>
      <c r="AV8" s="319"/>
      <c r="AW8" s="319"/>
      <c r="AX8" s="319"/>
      <c r="AY8" s="319"/>
      <c r="AZ8" s="319"/>
      <c r="BA8" s="319"/>
      <c r="BB8" s="319"/>
      <c r="BC8" s="319"/>
      <c r="BD8" s="319"/>
      <c r="BE8" s="319"/>
      <c r="BF8" s="319"/>
      <c r="BG8" s="319"/>
      <c r="BH8" s="319"/>
      <c r="BI8" s="319"/>
      <c r="BJ8" s="319"/>
      <c r="BK8" s="319"/>
      <c r="BL8" s="319"/>
      <c r="BM8" s="319"/>
      <c r="BN8" s="319"/>
      <c r="BO8" s="319"/>
      <c r="BP8" s="319"/>
      <c r="BQ8" s="319"/>
      <c r="BR8" s="319"/>
      <c r="BS8" s="319"/>
      <c r="BT8" s="319"/>
      <c r="BU8" s="319"/>
      <c r="BV8" s="319"/>
      <c r="BW8" s="319"/>
      <c r="BX8" s="319"/>
      <c r="BY8" s="319"/>
      <c r="BZ8" s="319"/>
      <c r="CA8" s="319"/>
      <c r="CB8" s="319"/>
      <c r="CC8" s="319"/>
      <c r="CD8" s="319"/>
      <c r="CE8" s="320"/>
      <c r="CF8" s="134"/>
      <c r="CG8" s="135"/>
    </row>
    <row r="9" spans="1:85" ht="38.25" customHeight="1" x14ac:dyDescent="0.2">
      <c r="A9" s="322"/>
      <c r="B9" s="322"/>
      <c r="C9" s="322"/>
      <c r="D9" s="339"/>
      <c r="E9" s="322"/>
      <c r="F9" s="322"/>
      <c r="G9" s="322"/>
      <c r="H9" s="324"/>
      <c r="I9" s="326"/>
      <c r="J9" s="326"/>
      <c r="K9" s="328"/>
      <c r="L9" s="330"/>
      <c r="M9" s="136" t="s">
        <v>149</v>
      </c>
      <c r="N9" s="137" t="s">
        <v>150</v>
      </c>
      <c r="O9" s="137" t="s">
        <v>151</v>
      </c>
      <c r="P9" s="138" t="s">
        <v>152</v>
      </c>
      <c r="Q9" s="136" t="s">
        <v>149</v>
      </c>
      <c r="R9" s="137" t="s">
        <v>150</v>
      </c>
      <c r="S9" s="137" t="s">
        <v>151</v>
      </c>
      <c r="T9" s="138" t="s">
        <v>152</v>
      </c>
      <c r="U9" s="136" t="s">
        <v>149</v>
      </c>
      <c r="V9" s="137" t="s">
        <v>150</v>
      </c>
      <c r="W9" s="137" t="s">
        <v>151</v>
      </c>
      <c r="X9" s="138" t="s">
        <v>152</v>
      </c>
      <c r="Y9" s="136" t="s">
        <v>149</v>
      </c>
      <c r="Z9" s="137" t="s">
        <v>150</v>
      </c>
      <c r="AA9" s="137" t="s">
        <v>151</v>
      </c>
      <c r="AB9" s="138" t="s">
        <v>152</v>
      </c>
      <c r="AC9" s="139"/>
      <c r="AD9" s="140">
        <v>41479</v>
      </c>
      <c r="AE9" s="141">
        <f>AD9+1</f>
        <v>41480</v>
      </c>
      <c r="AF9" s="141">
        <f>AE9+1</f>
        <v>41481</v>
      </c>
      <c r="AG9" s="141">
        <f t="shared" ref="AG9:CE9" si="0">AF9+1</f>
        <v>41482</v>
      </c>
      <c r="AH9" s="141">
        <f t="shared" si="0"/>
        <v>41483</v>
      </c>
      <c r="AI9" s="141">
        <f t="shared" si="0"/>
        <v>41484</v>
      </c>
      <c r="AJ9" s="141">
        <f t="shared" si="0"/>
        <v>41485</v>
      </c>
      <c r="AK9" s="141">
        <f t="shared" si="0"/>
        <v>41486</v>
      </c>
      <c r="AL9" s="141">
        <f t="shared" si="0"/>
        <v>41487</v>
      </c>
      <c r="AM9" s="141">
        <f t="shared" si="0"/>
        <v>41488</v>
      </c>
      <c r="AN9" s="141">
        <f t="shared" si="0"/>
        <v>41489</v>
      </c>
      <c r="AO9" s="141">
        <f t="shared" si="0"/>
        <v>41490</v>
      </c>
      <c r="AP9" s="141">
        <f t="shared" si="0"/>
        <v>41491</v>
      </c>
      <c r="AQ9" s="141">
        <f t="shared" si="0"/>
        <v>41492</v>
      </c>
      <c r="AR9" s="141">
        <f t="shared" si="0"/>
        <v>41493</v>
      </c>
      <c r="AS9" s="141">
        <f t="shared" si="0"/>
        <v>41494</v>
      </c>
      <c r="AT9" s="141">
        <f t="shared" si="0"/>
        <v>41495</v>
      </c>
      <c r="AU9" s="141">
        <f t="shared" si="0"/>
        <v>41496</v>
      </c>
      <c r="AV9" s="141">
        <f t="shared" si="0"/>
        <v>41497</v>
      </c>
      <c r="AW9" s="141">
        <f t="shared" si="0"/>
        <v>41498</v>
      </c>
      <c r="AX9" s="141">
        <f t="shared" si="0"/>
        <v>41499</v>
      </c>
      <c r="AY9" s="141">
        <f t="shared" si="0"/>
        <v>41500</v>
      </c>
      <c r="AZ9" s="141">
        <f t="shared" si="0"/>
        <v>41501</v>
      </c>
      <c r="BA9" s="141">
        <f t="shared" si="0"/>
        <v>41502</v>
      </c>
      <c r="BB9" s="141">
        <f t="shared" si="0"/>
        <v>41503</v>
      </c>
      <c r="BC9" s="141">
        <f t="shared" si="0"/>
        <v>41504</v>
      </c>
      <c r="BD9" s="141">
        <f t="shared" si="0"/>
        <v>41505</v>
      </c>
      <c r="BE9" s="141">
        <f t="shared" si="0"/>
        <v>41506</v>
      </c>
      <c r="BF9" s="141">
        <f t="shared" si="0"/>
        <v>41507</v>
      </c>
      <c r="BG9" s="141">
        <f t="shared" si="0"/>
        <v>41508</v>
      </c>
      <c r="BH9" s="141">
        <f t="shared" si="0"/>
        <v>41509</v>
      </c>
      <c r="BI9" s="141">
        <f t="shared" si="0"/>
        <v>41510</v>
      </c>
      <c r="BJ9" s="141">
        <f t="shared" si="0"/>
        <v>41511</v>
      </c>
      <c r="BK9" s="141">
        <f t="shared" si="0"/>
        <v>41512</v>
      </c>
      <c r="BL9" s="141">
        <f t="shared" si="0"/>
        <v>41513</v>
      </c>
      <c r="BM9" s="141">
        <f t="shared" si="0"/>
        <v>41514</v>
      </c>
      <c r="BN9" s="141">
        <f t="shared" si="0"/>
        <v>41515</v>
      </c>
      <c r="BO9" s="141">
        <f t="shared" si="0"/>
        <v>41516</v>
      </c>
      <c r="BP9" s="141">
        <f t="shared" si="0"/>
        <v>41517</v>
      </c>
      <c r="BQ9" s="141">
        <f t="shared" si="0"/>
        <v>41518</v>
      </c>
      <c r="BR9" s="141">
        <f t="shared" si="0"/>
        <v>41519</v>
      </c>
      <c r="BS9" s="141">
        <f t="shared" si="0"/>
        <v>41520</v>
      </c>
      <c r="BT9" s="141">
        <f t="shared" si="0"/>
        <v>41521</v>
      </c>
      <c r="BU9" s="141">
        <f t="shared" si="0"/>
        <v>41522</v>
      </c>
      <c r="BV9" s="141">
        <f t="shared" si="0"/>
        <v>41523</v>
      </c>
      <c r="BW9" s="141">
        <f t="shared" si="0"/>
        <v>41524</v>
      </c>
      <c r="BX9" s="141">
        <f t="shared" si="0"/>
        <v>41525</v>
      </c>
      <c r="BY9" s="141">
        <f t="shared" si="0"/>
        <v>41526</v>
      </c>
      <c r="BZ9" s="141">
        <f t="shared" si="0"/>
        <v>41527</v>
      </c>
      <c r="CA9" s="141">
        <f t="shared" si="0"/>
        <v>41528</v>
      </c>
      <c r="CB9" s="141">
        <f t="shared" si="0"/>
        <v>41529</v>
      </c>
      <c r="CC9" s="141">
        <f t="shared" si="0"/>
        <v>41530</v>
      </c>
      <c r="CD9" s="141">
        <f t="shared" si="0"/>
        <v>41531</v>
      </c>
      <c r="CE9" s="141">
        <f t="shared" si="0"/>
        <v>41532</v>
      </c>
      <c r="CF9" s="142" t="s">
        <v>153</v>
      </c>
      <c r="CG9" s="143"/>
    </row>
    <row r="10" spans="1:85" s="153" customFormat="1" ht="15" customHeight="1" x14ac:dyDescent="0.2">
      <c r="A10" s="312" t="s">
        <v>83</v>
      </c>
      <c r="B10" s="313"/>
      <c r="C10" s="144"/>
      <c r="D10" s="144"/>
      <c r="E10" s="144"/>
      <c r="F10" s="314">
        <f>Расчет!D2</f>
        <v>464</v>
      </c>
      <c r="G10" s="144"/>
      <c r="H10" s="145"/>
      <c r="I10" s="145"/>
      <c r="J10" s="145"/>
      <c r="K10" s="146"/>
      <c r="L10" s="146"/>
      <c r="M10" s="147"/>
      <c r="N10" s="148"/>
      <c r="O10" s="148"/>
      <c r="P10" s="149"/>
      <c r="Q10" s="147"/>
      <c r="R10" s="148"/>
      <c r="S10" s="148"/>
      <c r="T10" s="149"/>
      <c r="U10" s="147"/>
      <c r="V10" s="148"/>
      <c r="W10" s="148"/>
      <c r="X10" s="149"/>
      <c r="Y10" s="147"/>
      <c r="Z10" s="148"/>
      <c r="AA10" s="148"/>
      <c r="AB10" s="149"/>
      <c r="AC10" s="148"/>
      <c r="AD10" s="150" t="str">
        <f>IF(OR(WEEKDAY(AD$9)=1,WEEKDAY(AD$9)=7),"В",IF(AD$9=$H$3,"О",""))</f>
        <v/>
      </c>
      <c r="AE10" s="150" t="str">
        <f t="shared" ref="AE10:CE10" si="1">IF(OR(WEEKDAY(AE$9)=1,WEEKDAY(AE$9)=7),"В",IF(AE$9=$H$3,"О",""))</f>
        <v/>
      </c>
      <c r="AF10" s="150" t="str">
        <f t="shared" si="1"/>
        <v/>
      </c>
      <c r="AG10" s="150" t="str">
        <f t="shared" si="1"/>
        <v>В</v>
      </c>
      <c r="AH10" s="150" t="str">
        <f t="shared" si="1"/>
        <v>В</v>
      </c>
      <c r="AI10" s="150" t="str">
        <f t="shared" si="1"/>
        <v/>
      </c>
      <c r="AJ10" s="150" t="str">
        <f t="shared" si="1"/>
        <v/>
      </c>
      <c r="AK10" s="150" t="str">
        <f t="shared" si="1"/>
        <v/>
      </c>
      <c r="AL10" s="150" t="str">
        <f t="shared" si="1"/>
        <v/>
      </c>
      <c r="AM10" s="150" t="str">
        <f t="shared" si="1"/>
        <v/>
      </c>
      <c r="AN10" s="150" t="str">
        <f t="shared" si="1"/>
        <v>В</v>
      </c>
      <c r="AO10" s="150" t="str">
        <f t="shared" si="1"/>
        <v>В</v>
      </c>
      <c r="AP10" s="150" t="str">
        <f t="shared" si="1"/>
        <v/>
      </c>
      <c r="AQ10" s="150" t="str">
        <f t="shared" si="1"/>
        <v/>
      </c>
      <c r="AR10" s="150" t="str">
        <f t="shared" si="1"/>
        <v/>
      </c>
      <c r="AS10" s="150" t="str">
        <f t="shared" si="1"/>
        <v/>
      </c>
      <c r="AT10" s="150" t="str">
        <f t="shared" si="1"/>
        <v/>
      </c>
      <c r="AU10" s="150" t="str">
        <f t="shared" si="1"/>
        <v>В</v>
      </c>
      <c r="AV10" s="150" t="str">
        <f t="shared" si="1"/>
        <v>В</v>
      </c>
      <c r="AW10" s="150" t="str">
        <f t="shared" si="1"/>
        <v/>
      </c>
      <c r="AX10" s="150" t="str">
        <f t="shared" si="1"/>
        <v/>
      </c>
      <c r="AY10" s="150" t="str">
        <f t="shared" si="1"/>
        <v/>
      </c>
      <c r="AZ10" s="150" t="str">
        <f t="shared" si="1"/>
        <v/>
      </c>
      <c r="BA10" s="150" t="str">
        <f t="shared" si="1"/>
        <v/>
      </c>
      <c r="BB10" s="150" t="str">
        <f t="shared" si="1"/>
        <v>В</v>
      </c>
      <c r="BC10" s="150" t="str">
        <f t="shared" si="1"/>
        <v>В</v>
      </c>
      <c r="BD10" s="150" t="str">
        <f t="shared" si="1"/>
        <v/>
      </c>
      <c r="BE10" s="150" t="str">
        <f t="shared" si="1"/>
        <v/>
      </c>
      <c r="BF10" s="150" t="str">
        <f t="shared" si="1"/>
        <v/>
      </c>
      <c r="BG10" s="150" t="str">
        <f t="shared" si="1"/>
        <v/>
      </c>
      <c r="BH10" s="150" t="str">
        <f t="shared" si="1"/>
        <v/>
      </c>
      <c r="BI10" s="150" t="str">
        <f t="shared" si="1"/>
        <v>В</v>
      </c>
      <c r="BJ10" s="150" t="str">
        <f t="shared" si="1"/>
        <v>В</v>
      </c>
      <c r="BK10" s="150" t="str">
        <f t="shared" si="1"/>
        <v/>
      </c>
      <c r="BL10" s="150" t="str">
        <f t="shared" si="1"/>
        <v/>
      </c>
      <c r="BM10" s="150" t="str">
        <f t="shared" si="1"/>
        <v/>
      </c>
      <c r="BN10" s="150" t="str">
        <f t="shared" si="1"/>
        <v/>
      </c>
      <c r="BO10" s="150" t="str">
        <f t="shared" si="1"/>
        <v/>
      </c>
      <c r="BP10" s="150" t="str">
        <f t="shared" si="1"/>
        <v>В</v>
      </c>
      <c r="BQ10" s="150" t="str">
        <f t="shared" si="1"/>
        <v>В</v>
      </c>
      <c r="BR10" s="150" t="str">
        <f t="shared" si="1"/>
        <v/>
      </c>
      <c r="BS10" s="150" t="str">
        <f t="shared" si="1"/>
        <v/>
      </c>
      <c r="BT10" s="150" t="str">
        <f t="shared" si="1"/>
        <v/>
      </c>
      <c r="BU10" s="150" t="str">
        <f t="shared" si="1"/>
        <v/>
      </c>
      <c r="BV10" s="150" t="str">
        <f t="shared" si="1"/>
        <v/>
      </c>
      <c r="BW10" s="150" t="str">
        <f t="shared" si="1"/>
        <v>В</v>
      </c>
      <c r="BX10" s="150" t="str">
        <f t="shared" si="1"/>
        <v>В</v>
      </c>
      <c r="BY10" s="150" t="str">
        <f t="shared" si="1"/>
        <v/>
      </c>
      <c r="BZ10" s="150" t="str">
        <f t="shared" si="1"/>
        <v/>
      </c>
      <c r="CA10" s="150" t="str">
        <f t="shared" si="1"/>
        <v/>
      </c>
      <c r="CB10" s="150" t="str">
        <f t="shared" si="1"/>
        <v/>
      </c>
      <c r="CC10" s="150" t="str">
        <f t="shared" si="1"/>
        <v/>
      </c>
      <c r="CD10" s="150" t="str">
        <f t="shared" si="1"/>
        <v>В</v>
      </c>
      <c r="CE10" s="150" t="str">
        <f t="shared" si="1"/>
        <v>В</v>
      </c>
      <c r="CF10" s="151"/>
      <c r="CG10" s="152"/>
    </row>
    <row r="11" spans="1:85" ht="12" customHeight="1" x14ac:dyDescent="0.2">
      <c r="A11" s="154">
        <v>1</v>
      </c>
      <c r="B11" s="155" t="s">
        <v>328</v>
      </c>
      <c r="C11" s="155" t="s">
        <v>329</v>
      </c>
      <c r="D11" s="155" t="s">
        <v>375</v>
      </c>
      <c r="E11" s="181">
        <v>2</v>
      </c>
      <c r="F11" s="315"/>
      <c r="G11" s="183">
        <f t="shared" ref="G11:G21" si="2">$F$10*E11</f>
        <v>928</v>
      </c>
      <c r="H11" s="155"/>
      <c r="I11" s="221"/>
      <c r="J11" s="155"/>
      <c r="K11" s="155"/>
      <c r="L11" s="155"/>
      <c r="M11" s="156"/>
      <c r="N11" s="154"/>
      <c r="O11" s="154"/>
      <c r="P11" s="157"/>
      <c r="Q11" s="156"/>
      <c r="R11" s="154"/>
      <c r="S11" s="154"/>
      <c r="T11" s="157"/>
      <c r="U11" s="156"/>
      <c r="V11" s="154"/>
      <c r="W11" s="154"/>
      <c r="X11" s="157"/>
      <c r="Y11" s="156"/>
      <c r="Z11" s="154"/>
      <c r="AA11" s="154"/>
      <c r="AB11" s="157"/>
      <c r="AC11" s="158"/>
      <c r="AD11" s="159" t="str">
        <f t="shared" ref="AD11:CE15" si="3">IF(AD$9=$M11,$P11,IF(AD$9=$Q11,$T11,IF(AD$9=$U11,$X11,IF(AD$9=$Y11,$AB11,IF(AD$9=$L11,"ПС",IF(AD$9=$I11,"КС",IF(AND(AD$9&lt;$I11,AD$9&gt;$L11),"--","")))))))</f>
        <v/>
      </c>
      <c r="AE11" s="159" t="str">
        <f t="shared" si="3"/>
        <v/>
      </c>
      <c r="AF11" s="159" t="str">
        <f t="shared" si="3"/>
        <v/>
      </c>
      <c r="AG11" s="159" t="str">
        <f t="shared" si="3"/>
        <v/>
      </c>
      <c r="AH11" s="159" t="str">
        <f t="shared" si="3"/>
        <v/>
      </c>
      <c r="AI11" s="159" t="str">
        <f t="shared" si="3"/>
        <v/>
      </c>
      <c r="AJ11" s="159" t="str">
        <f t="shared" si="3"/>
        <v/>
      </c>
      <c r="AK11" s="159" t="str">
        <f t="shared" si="3"/>
        <v/>
      </c>
      <c r="AL11" s="159" t="str">
        <f t="shared" si="3"/>
        <v/>
      </c>
      <c r="AM11" s="159" t="str">
        <f t="shared" si="3"/>
        <v/>
      </c>
      <c r="AN11" s="159" t="str">
        <f t="shared" si="3"/>
        <v/>
      </c>
      <c r="AO11" s="159" t="str">
        <f t="shared" si="3"/>
        <v/>
      </c>
      <c r="AP11" s="159" t="str">
        <f t="shared" si="3"/>
        <v/>
      </c>
      <c r="AQ11" s="159" t="str">
        <f t="shared" si="3"/>
        <v/>
      </c>
      <c r="AR11" s="159" t="str">
        <f t="shared" si="3"/>
        <v/>
      </c>
      <c r="AS11" s="159" t="str">
        <f t="shared" si="3"/>
        <v/>
      </c>
      <c r="AT11" s="159" t="str">
        <f t="shared" si="3"/>
        <v/>
      </c>
      <c r="AU11" s="159" t="str">
        <f t="shared" si="3"/>
        <v/>
      </c>
      <c r="AV11" s="159" t="str">
        <f t="shared" si="3"/>
        <v/>
      </c>
      <c r="AW11" s="159" t="str">
        <f t="shared" si="3"/>
        <v/>
      </c>
      <c r="AX11" s="159" t="str">
        <f t="shared" si="3"/>
        <v/>
      </c>
      <c r="AY11" s="159" t="str">
        <f t="shared" si="3"/>
        <v/>
      </c>
      <c r="AZ11" s="159" t="str">
        <f t="shared" si="3"/>
        <v/>
      </c>
      <c r="BA11" s="159" t="str">
        <f t="shared" si="3"/>
        <v/>
      </c>
      <c r="BB11" s="159" t="str">
        <f t="shared" si="3"/>
        <v/>
      </c>
      <c r="BC11" s="159" t="str">
        <f t="shared" si="3"/>
        <v/>
      </c>
      <c r="BD11" s="159" t="str">
        <f t="shared" si="3"/>
        <v/>
      </c>
      <c r="BE11" s="159" t="str">
        <f t="shared" si="3"/>
        <v/>
      </c>
      <c r="BF11" s="159" t="str">
        <f t="shared" si="3"/>
        <v/>
      </c>
      <c r="BG11" s="159" t="str">
        <f t="shared" si="3"/>
        <v/>
      </c>
      <c r="BH11" s="159" t="str">
        <f t="shared" si="3"/>
        <v/>
      </c>
      <c r="BI11" s="159" t="str">
        <f t="shared" si="3"/>
        <v/>
      </c>
      <c r="BJ11" s="159" t="str">
        <f t="shared" si="3"/>
        <v/>
      </c>
      <c r="BK11" s="159" t="str">
        <f t="shared" si="3"/>
        <v/>
      </c>
      <c r="BL11" s="159" t="str">
        <f t="shared" si="3"/>
        <v/>
      </c>
      <c r="BM11" s="159" t="str">
        <f t="shared" si="3"/>
        <v/>
      </c>
      <c r="BN11" s="159" t="str">
        <f t="shared" si="3"/>
        <v/>
      </c>
      <c r="BO11" s="159" t="str">
        <f t="shared" si="3"/>
        <v/>
      </c>
      <c r="BP11" s="159" t="str">
        <f t="shared" si="3"/>
        <v/>
      </c>
      <c r="BQ11" s="159" t="str">
        <f t="shared" si="3"/>
        <v/>
      </c>
      <c r="BR11" s="159" t="str">
        <f t="shared" si="3"/>
        <v/>
      </c>
      <c r="BS11" s="159" t="str">
        <f t="shared" si="3"/>
        <v/>
      </c>
      <c r="BT11" s="159" t="str">
        <f t="shared" si="3"/>
        <v/>
      </c>
      <c r="BU11" s="159" t="str">
        <f t="shared" si="3"/>
        <v/>
      </c>
      <c r="BV11" s="159" t="str">
        <f t="shared" si="3"/>
        <v/>
      </c>
      <c r="BW11" s="159" t="str">
        <f t="shared" si="3"/>
        <v/>
      </c>
      <c r="BX11" s="159" t="str">
        <f t="shared" si="3"/>
        <v/>
      </c>
      <c r="BY11" s="159" t="str">
        <f t="shared" si="3"/>
        <v/>
      </c>
      <c r="BZ11" s="159" t="str">
        <f t="shared" si="3"/>
        <v/>
      </c>
      <c r="CA11" s="159" t="str">
        <f t="shared" si="3"/>
        <v/>
      </c>
      <c r="CB11" s="159" t="str">
        <f t="shared" si="3"/>
        <v/>
      </c>
      <c r="CC11" s="159" t="str">
        <f t="shared" si="3"/>
        <v/>
      </c>
      <c r="CD11" s="159" t="str">
        <f t="shared" si="3"/>
        <v/>
      </c>
      <c r="CE11" s="159" t="str">
        <f t="shared" si="3"/>
        <v/>
      </c>
      <c r="CF11" s="160">
        <f t="shared" ref="CF11:CF21" si="4">SUM(AB11+X11+T11+P11)</f>
        <v>0</v>
      </c>
      <c r="CG11" s="161">
        <f t="shared" ref="CG11:CG21" si="5">CF11/E11</f>
        <v>0</v>
      </c>
    </row>
    <row r="12" spans="1:85" ht="12" customHeight="1" x14ac:dyDescent="0.2">
      <c r="A12" s="154">
        <v>2</v>
      </c>
      <c r="B12" s="155" t="s">
        <v>330</v>
      </c>
      <c r="C12" s="155" t="s">
        <v>331</v>
      </c>
      <c r="D12" s="155" t="s">
        <v>375</v>
      </c>
      <c r="E12" s="181">
        <v>4</v>
      </c>
      <c r="F12" s="315"/>
      <c r="G12" s="183">
        <f t="shared" si="2"/>
        <v>1856</v>
      </c>
      <c r="H12" s="155"/>
      <c r="I12" s="221"/>
      <c r="J12" s="155"/>
      <c r="K12" s="155"/>
      <c r="L12" s="155"/>
      <c r="M12" s="156"/>
      <c r="N12" s="154"/>
      <c r="O12" s="154"/>
      <c r="P12" s="157"/>
      <c r="Q12" s="156"/>
      <c r="R12" s="154"/>
      <c r="S12" s="154"/>
      <c r="T12" s="157"/>
      <c r="U12" s="156"/>
      <c r="V12" s="154"/>
      <c r="W12" s="154"/>
      <c r="X12" s="157"/>
      <c r="Y12" s="156"/>
      <c r="Z12" s="154"/>
      <c r="AA12" s="154"/>
      <c r="AB12" s="157"/>
      <c r="AC12" s="158"/>
      <c r="AD12" s="159" t="str">
        <f t="shared" si="3"/>
        <v/>
      </c>
      <c r="AE12" s="159" t="str">
        <f t="shared" si="3"/>
        <v/>
      </c>
      <c r="AF12" s="159" t="str">
        <f t="shared" si="3"/>
        <v/>
      </c>
      <c r="AG12" s="159" t="str">
        <f t="shared" si="3"/>
        <v/>
      </c>
      <c r="AH12" s="159" t="str">
        <f t="shared" si="3"/>
        <v/>
      </c>
      <c r="AI12" s="159" t="str">
        <f t="shared" si="3"/>
        <v/>
      </c>
      <c r="AJ12" s="159" t="str">
        <f t="shared" si="3"/>
        <v/>
      </c>
      <c r="AK12" s="159" t="str">
        <f t="shared" si="3"/>
        <v/>
      </c>
      <c r="AL12" s="159" t="str">
        <f t="shared" si="3"/>
        <v/>
      </c>
      <c r="AM12" s="159" t="str">
        <f t="shared" si="3"/>
        <v/>
      </c>
      <c r="AN12" s="159" t="str">
        <f t="shared" si="3"/>
        <v/>
      </c>
      <c r="AO12" s="159" t="str">
        <f t="shared" si="3"/>
        <v/>
      </c>
      <c r="AP12" s="159" t="str">
        <f t="shared" si="3"/>
        <v/>
      </c>
      <c r="AQ12" s="159" t="str">
        <f t="shared" si="3"/>
        <v/>
      </c>
      <c r="AR12" s="159" t="str">
        <f t="shared" si="3"/>
        <v/>
      </c>
      <c r="AS12" s="159" t="str">
        <f t="shared" si="3"/>
        <v/>
      </c>
      <c r="AT12" s="159" t="str">
        <f t="shared" si="3"/>
        <v/>
      </c>
      <c r="AU12" s="159" t="str">
        <f t="shared" si="3"/>
        <v/>
      </c>
      <c r="AV12" s="159" t="str">
        <f t="shared" si="3"/>
        <v/>
      </c>
      <c r="AW12" s="159" t="str">
        <f t="shared" si="3"/>
        <v/>
      </c>
      <c r="AX12" s="159" t="str">
        <f t="shared" si="3"/>
        <v/>
      </c>
      <c r="AY12" s="159" t="str">
        <f t="shared" si="3"/>
        <v/>
      </c>
      <c r="AZ12" s="159" t="str">
        <f t="shared" si="3"/>
        <v/>
      </c>
      <c r="BA12" s="159" t="str">
        <f t="shared" si="3"/>
        <v/>
      </c>
      <c r="BB12" s="159" t="str">
        <f t="shared" si="3"/>
        <v/>
      </c>
      <c r="BC12" s="159" t="str">
        <f t="shared" si="3"/>
        <v/>
      </c>
      <c r="BD12" s="159" t="str">
        <f t="shared" si="3"/>
        <v/>
      </c>
      <c r="BE12" s="159" t="str">
        <f t="shared" si="3"/>
        <v/>
      </c>
      <c r="BF12" s="159" t="str">
        <f t="shared" si="3"/>
        <v/>
      </c>
      <c r="BG12" s="159" t="str">
        <f t="shared" si="3"/>
        <v/>
      </c>
      <c r="BH12" s="159" t="str">
        <f t="shared" si="3"/>
        <v/>
      </c>
      <c r="BI12" s="159" t="str">
        <f t="shared" si="3"/>
        <v/>
      </c>
      <c r="BJ12" s="159" t="str">
        <f t="shared" si="3"/>
        <v/>
      </c>
      <c r="BK12" s="159" t="str">
        <f t="shared" si="3"/>
        <v/>
      </c>
      <c r="BL12" s="159" t="str">
        <f t="shared" si="3"/>
        <v/>
      </c>
      <c r="BM12" s="159" t="str">
        <f t="shared" si="3"/>
        <v/>
      </c>
      <c r="BN12" s="159" t="str">
        <f t="shared" si="3"/>
        <v/>
      </c>
      <c r="BO12" s="159" t="str">
        <f t="shared" si="3"/>
        <v/>
      </c>
      <c r="BP12" s="159" t="str">
        <f t="shared" si="3"/>
        <v/>
      </c>
      <c r="BQ12" s="159" t="str">
        <f t="shared" si="3"/>
        <v/>
      </c>
      <c r="BR12" s="159" t="str">
        <f t="shared" si="3"/>
        <v/>
      </c>
      <c r="BS12" s="159" t="str">
        <f t="shared" si="3"/>
        <v/>
      </c>
      <c r="BT12" s="159" t="str">
        <f t="shared" si="3"/>
        <v/>
      </c>
      <c r="BU12" s="159" t="str">
        <f t="shared" si="3"/>
        <v/>
      </c>
      <c r="BV12" s="159" t="str">
        <f t="shared" si="3"/>
        <v/>
      </c>
      <c r="BW12" s="159" t="str">
        <f t="shared" si="3"/>
        <v/>
      </c>
      <c r="BX12" s="159" t="str">
        <f t="shared" si="3"/>
        <v/>
      </c>
      <c r="BY12" s="159" t="str">
        <f t="shared" si="3"/>
        <v/>
      </c>
      <c r="BZ12" s="159" t="str">
        <f t="shared" si="3"/>
        <v/>
      </c>
      <c r="CA12" s="159" t="str">
        <f t="shared" si="3"/>
        <v/>
      </c>
      <c r="CB12" s="159" t="str">
        <f t="shared" si="3"/>
        <v/>
      </c>
      <c r="CC12" s="159" t="str">
        <f t="shared" si="3"/>
        <v/>
      </c>
      <c r="CD12" s="159" t="str">
        <f t="shared" si="3"/>
        <v/>
      </c>
      <c r="CE12" s="159" t="str">
        <f t="shared" si="3"/>
        <v/>
      </c>
      <c r="CF12" s="160">
        <f t="shared" si="4"/>
        <v>0</v>
      </c>
      <c r="CG12" s="161">
        <f t="shared" si="5"/>
        <v>0</v>
      </c>
    </row>
    <row r="13" spans="1:85" ht="12" customHeight="1" x14ac:dyDescent="0.2">
      <c r="A13" s="154">
        <v>3</v>
      </c>
      <c r="B13" s="155" t="s">
        <v>332</v>
      </c>
      <c r="C13" s="155" t="s">
        <v>326</v>
      </c>
      <c r="D13" s="155" t="s">
        <v>375</v>
      </c>
      <c r="E13" s="181">
        <v>4</v>
      </c>
      <c r="F13" s="315"/>
      <c r="G13" s="183">
        <f t="shared" si="2"/>
        <v>1856</v>
      </c>
      <c r="H13" s="155"/>
      <c r="I13" s="221"/>
      <c r="J13" s="155"/>
      <c r="K13" s="155"/>
      <c r="L13" s="155"/>
      <c r="M13" s="156"/>
      <c r="N13" s="154"/>
      <c r="O13" s="154"/>
      <c r="P13" s="157"/>
      <c r="Q13" s="156"/>
      <c r="R13" s="154"/>
      <c r="S13" s="154"/>
      <c r="T13" s="157"/>
      <c r="U13" s="156"/>
      <c r="V13" s="154"/>
      <c r="W13" s="154"/>
      <c r="X13" s="157"/>
      <c r="Y13" s="156"/>
      <c r="Z13" s="154"/>
      <c r="AA13" s="154"/>
      <c r="AB13" s="157"/>
      <c r="AC13" s="158"/>
      <c r="AD13" s="159" t="str">
        <f t="shared" si="3"/>
        <v/>
      </c>
      <c r="AE13" s="159" t="str">
        <f t="shared" si="3"/>
        <v/>
      </c>
      <c r="AF13" s="159" t="str">
        <f t="shared" si="3"/>
        <v/>
      </c>
      <c r="AG13" s="159" t="str">
        <f t="shared" si="3"/>
        <v/>
      </c>
      <c r="AH13" s="159" t="str">
        <f t="shared" si="3"/>
        <v/>
      </c>
      <c r="AI13" s="159" t="str">
        <f t="shared" si="3"/>
        <v/>
      </c>
      <c r="AJ13" s="159" t="str">
        <f t="shared" si="3"/>
        <v/>
      </c>
      <c r="AK13" s="159" t="str">
        <f t="shared" si="3"/>
        <v/>
      </c>
      <c r="AL13" s="159" t="str">
        <f t="shared" si="3"/>
        <v/>
      </c>
      <c r="AM13" s="159" t="str">
        <f t="shared" si="3"/>
        <v/>
      </c>
      <c r="AN13" s="159" t="str">
        <f t="shared" si="3"/>
        <v/>
      </c>
      <c r="AO13" s="159" t="str">
        <f t="shared" si="3"/>
        <v/>
      </c>
      <c r="AP13" s="159" t="str">
        <f t="shared" si="3"/>
        <v/>
      </c>
      <c r="AQ13" s="159" t="str">
        <f t="shared" si="3"/>
        <v/>
      </c>
      <c r="AR13" s="159" t="str">
        <f t="shared" si="3"/>
        <v/>
      </c>
      <c r="AS13" s="159" t="str">
        <f t="shared" si="3"/>
        <v/>
      </c>
      <c r="AT13" s="159" t="str">
        <f t="shared" si="3"/>
        <v/>
      </c>
      <c r="AU13" s="159" t="str">
        <f t="shared" si="3"/>
        <v/>
      </c>
      <c r="AV13" s="159" t="str">
        <f t="shared" si="3"/>
        <v/>
      </c>
      <c r="AW13" s="159" t="str">
        <f t="shared" si="3"/>
        <v/>
      </c>
      <c r="AX13" s="159" t="str">
        <f t="shared" si="3"/>
        <v/>
      </c>
      <c r="AY13" s="159" t="str">
        <f t="shared" si="3"/>
        <v/>
      </c>
      <c r="AZ13" s="159" t="str">
        <f t="shared" si="3"/>
        <v/>
      </c>
      <c r="BA13" s="159" t="str">
        <f t="shared" si="3"/>
        <v/>
      </c>
      <c r="BB13" s="159" t="str">
        <f t="shared" si="3"/>
        <v/>
      </c>
      <c r="BC13" s="159" t="str">
        <f t="shared" si="3"/>
        <v/>
      </c>
      <c r="BD13" s="159" t="str">
        <f t="shared" si="3"/>
        <v/>
      </c>
      <c r="BE13" s="159" t="str">
        <f t="shared" si="3"/>
        <v/>
      </c>
      <c r="BF13" s="159" t="str">
        <f t="shared" si="3"/>
        <v/>
      </c>
      <c r="BG13" s="159" t="str">
        <f t="shared" si="3"/>
        <v/>
      </c>
      <c r="BH13" s="159" t="str">
        <f t="shared" si="3"/>
        <v/>
      </c>
      <c r="BI13" s="159" t="str">
        <f t="shared" si="3"/>
        <v/>
      </c>
      <c r="BJ13" s="159" t="str">
        <f t="shared" si="3"/>
        <v/>
      </c>
      <c r="BK13" s="159" t="str">
        <f t="shared" si="3"/>
        <v/>
      </c>
      <c r="BL13" s="159" t="str">
        <f t="shared" si="3"/>
        <v/>
      </c>
      <c r="BM13" s="159" t="str">
        <f t="shared" si="3"/>
        <v/>
      </c>
      <c r="BN13" s="159" t="str">
        <f t="shared" si="3"/>
        <v/>
      </c>
      <c r="BO13" s="159" t="str">
        <f t="shared" si="3"/>
        <v/>
      </c>
      <c r="BP13" s="159" t="str">
        <f t="shared" si="3"/>
        <v/>
      </c>
      <c r="BQ13" s="159" t="str">
        <f t="shared" si="3"/>
        <v/>
      </c>
      <c r="BR13" s="159" t="str">
        <f t="shared" si="3"/>
        <v/>
      </c>
      <c r="BS13" s="159" t="str">
        <f t="shared" si="3"/>
        <v/>
      </c>
      <c r="BT13" s="159" t="str">
        <f t="shared" si="3"/>
        <v/>
      </c>
      <c r="BU13" s="159" t="str">
        <f t="shared" si="3"/>
        <v/>
      </c>
      <c r="BV13" s="159" t="str">
        <f t="shared" si="3"/>
        <v/>
      </c>
      <c r="BW13" s="159" t="str">
        <f t="shared" si="3"/>
        <v/>
      </c>
      <c r="BX13" s="159" t="str">
        <f t="shared" si="3"/>
        <v/>
      </c>
      <c r="BY13" s="159" t="str">
        <f t="shared" si="3"/>
        <v/>
      </c>
      <c r="BZ13" s="159" t="str">
        <f t="shared" si="3"/>
        <v/>
      </c>
      <c r="CA13" s="159" t="str">
        <f t="shared" si="3"/>
        <v/>
      </c>
      <c r="CB13" s="159" t="str">
        <f t="shared" si="3"/>
        <v/>
      </c>
      <c r="CC13" s="159" t="str">
        <f t="shared" si="3"/>
        <v/>
      </c>
      <c r="CD13" s="159" t="str">
        <f t="shared" si="3"/>
        <v/>
      </c>
      <c r="CE13" s="159" t="str">
        <f t="shared" si="3"/>
        <v/>
      </c>
      <c r="CF13" s="160">
        <f t="shared" si="4"/>
        <v>0</v>
      </c>
      <c r="CG13" s="161">
        <f t="shared" si="5"/>
        <v>0</v>
      </c>
    </row>
    <row r="14" spans="1:85" ht="12" customHeight="1" x14ac:dyDescent="0.2">
      <c r="A14" s="154">
        <v>4</v>
      </c>
      <c r="B14" s="155" t="s">
        <v>333</v>
      </c>
      <c r="C14" s="155" t="s">
        <v>334</v>
      </c>
      <c r="D14" s="155" t="s">
        <v>375</v>
      </c>
      <c r="E14" s="181">
        <v>2</v>
      </c>
      <c r="F14" s="315"/>
      <c r="G14" s="183">
        <f t="shared" si="2"/>
        <v>928</v>
      </c>
      <c r="H14" s="155"/>
      <c r="I14" s="221"/>
      <c r="J14" s="155"/>
      <c r="K14" s="155"/>
      <c r="L14" s="155"/>
      <c r="M14" s="156"/>
      <c r="N14" s="154"/>
      <c r="O14" s="154"/>
      <c r="P14" s="157"/>
      <c r="Q14" s="156"/>
      <c r="R14" s="154"/>
      <c r="S14" s="154"/>
      <c r="T14" s="157"/>
      <c r="U14" s="156"/>
      <c r="V14" s="154"/>
      <c r="W14" s="154"/>
      <c r="X14" s="157"/>
      <c r="Y14" s="156"/>
      <c r="Z14" s="154"/>
      <c r="AA14" s="154"/>
      <c r="AB14" s="157"/>
      <c r="AC14" s="158"/>
      <c r="AD14" s="159" t="str">
        <f t="shared" si="3"/>
        <v/>
      </c>
      <c r="AE14" s="159" t="str">
        <f t="shared" si="3"/>
        <v/>
      </c>
      <c r="AF14" s="159" t="str">
        <f t="shared" si="3"/>
        <v/>
      </c>
      <c r="AG14" s="159" t="str">
        <f t="shared" si="3"/>
        <v/>
      </c>
      <c r="AH14" s="159" t="str">
        <f t="shared" si="3"/>
        <v/>
      </c>
      <c r="AI14" s="159" t="str">
        <f t="shared" si="3"/>
        <v/>
      </c>
      <c r="AJ14" s="159" t="str">
        <f t="shared" si="3"/>
        <v/>
      </c>
      <c r="AK14" s="159" t="str">
        <f t="shared" si="3"/>
        <v/>
      </c>
      <c r="AL14" s="159" t="str">
        <f t="shared" si="3"/>
        <v/>
      </c>
      <c r="AM14" s="159" t="str">
        <f t="shared" si="3"/>
        <v/>
      </c>
      <c r="AN14" s="159" t="str">
        <f t="shared" si="3"/>
        <v/>
      </c>
      <c r="AO14" s="159" t="str">
        <f t="shared" si="3"/>
        <v/>
      </c>
      <c r="AP14" s="159" t="str">
        <f t="shared" si="3"/>
        <v/>
      </c>
      <c r="AQ14" s="159" t="str">
        <f t="shared" si="3"/>
        <v/>
      </c>
      <c r="AR14" s="159" t="str">
        <f t="shared" si="3"/>
        <v/>
      </c>
      <c r="AS14" s="159" t="str">
        <f t="shared" si="3"/>
        <v/>
      </c>
      <c r="AT14" s="159" t="str">
        <f t="shared" si="3"/>
        <v/>
      </c>
      <c r="AU14" s="159" t="str">
        <f t="shared" si="3"/>
        <v/>
      </c>
      <c r="AV14" s="159" t="str">
        <f t="shared" si="3"/>
        <v/>
      </c>
      <c r="AW14" s="159" t="str">
        <f t="shared" si="3"/>
        <v/>
      </c>
      <c r="AX14" s="159" t="str">
        <f t="shared" si="3"/>
        <v/>
      </c>
      <c r="AY14" s="159" t="str">
        <f t="shared" si="3"/>
        <v/>
      </c>
      <c r="AZ14" s="159" t="str">
        <f t="shared" si="3"/>
        <v/>
      </c>
      <c r="BA14" s="159" t="str">
        <f t="shared" si="3"/>
        <v/>
      </c>
      <c r="BB14" s="159" t="str">
        <f t="shared" si="3"/>
        <v/>
      </c>
      <c r="BC14" s="159" t="str">
        <f t="shared" si="3"/>
        <v/>
      </c>
      <c r="BD14" s="159" t="str">
        <f t="shared" si="3"/>
        <v/>
      </c>
      <c r="BE14" s="159" t="str">
        <f t="shared" si="3"/>
        <v/>
      </c>
      <c r="BF14" s="159" t="str">
        <f t="shared" si="3"/>
        <v/>
      </c>
      <c r="BG14" s="159" t="str">
        <f t="shared" si="3"/>
        <v/>
      </c>
      <c r="BH14" s="159" t="str">
        <f t="shared" si="3"/>
        <v/>
      </c>
      <c r="BI14" s="159" t="str">
        <f t="shared" si="3"/>
        <v/>
      </c>
      <c r="BJ14" s="159" t="str">
        <f t="shared" si="3"/>
        <v/>
      </c>
      <c r="BK14" s="159" t="str">
        <f t="shared" si="3"/>
        <v/>
      </c>
      <c r="BL14" s="159" t="str">
        <f t="shared" si="3"/>
        <v/>
      </c>
      <c r="BM14" s="159" t="str">
        <f t="shared" si="3"/>
        <v/>
      </c>
      <c r="BN14" s="159" t="str">
        <f t="shared" si="3"/>
        <v/>
      </c>
      <c r="BO14" s="159" t="str">
        <f t="shared" si="3"/>
        <v/>
      </c>
      <c r="BP14" s="159" t="str">
        <f t="shared" si="3"/>
        <v/>
      </c>
      <c r="BQ14" s="159" t="str">
        <f t="shared" si="3"/>
        <v/>
      </c>
      <c r="BR14" s="159" t="str">
        <f t="shared" si="3"/>
        <v/>
      </c>
      <c r="BS14" s="159" t="str">
        <f t="shared" si="3"/>
        <v/>
      </c>
      <c r="BT14" s="159" t="str">
        <f t="shared" si="3"/>
        <v/>
      </c>
      <c r="BU14" s="159" t="str">
        <f t="shared" si="3"/>
        <v/>
      </c>
      <c r="BV14" s="159" t="str">
        <f t="shared" si="3"/>
        <v/>
      </c>
      <c r="BW14" s="159" t="str">
        <f t="shared" si="3"/>
        <v/>
      </c>
      <c r="BX14" s="159" t="str">
        <f t="shared" si="3"/>
        <v/>
      </c>
      <c r="BY14" s="159" t="str">
        <f t="shared" si="3"/>
        <v/>
      </c>
      <c r="BZ14" s="159" t="str">
        <f t="shared" si="3"/>
        <v/>
      </c>
      <c r="CA14" s="159" t="str">
        <f t="shared" si="3"/>
        <v/>
      </c>
      <c r="CB14" s="159" t="str">
        <f t="shared" si="3"/>
        <v/>
      </c>
      <c r="CC14" s="159" t="str">
        <f t="shared" si="3"/>
        <v/>
      </c>
      <c r="CD14" s="159" t="str">
        <f t="shared" si="3"/>
        <v/>
      </c>
      <c r="CE14" s="159" t="str">
        <f t="shared" si="3"/>
        <v/>
      </c>
      <c r="CF14" s="160">
        <f t="shared" si="4"/>
        <v>0</v>
      </c>
      <c r="CG14" s="161">
        <f t="shared" si="5"/>
        <v>0</v>
      </c>
    </row>
    <row r="15" spans="1:85" ht="12" customHeight="1" x14ac:dyDescent="0.2">
      <c r="A15" s="154">
        <v>5</v>
      </c>
      <c r="B15" s="155" t="s">
        <v>316</v>
      </c>
      <c r="C15" s="155" t="s">
        <v>317</v>
      </c>
      <c r="D15" s="155" t="s">
        <v>375</v>
      </c>
      <c r="E15" s="181">
        <v>4</v>
      </c>
      <c r="F15" s="315"/>
      <c r="G15" s="183">
        <f t="shared" si="2"/>
        <v>1856</v>
      </c>
      <c r="H15" s="155"/>
      <c r="I15" s="221"/>
      <c r="J15" s="155"/>
      <c r="K15" s="155"/>
      <c r="L15" s="155"/>
      <c r="M15" s="156"/>
      <c r="N15" s="154"/>
      <c r="O15" s="154"/>
      <c r="P15" s="157"/>
      <c r="Q15" s="156"/>
      <c r="R15" s="154"/>
      <c r="S15" s="154"/>
      <c r="T15" s="157"/>
      <c r="U15" s="156"/>
      <c r="V15" s="154"/>
      <c r="W15" s="154"/>
      <c r="X15" s="157"/>
      <c r="Y15" s="156"/>
      <c r="Z15" s="154"/>
      <c r="AA15" s="154"/>
      <c r="AB15" s="157"/>
      <c r="AC15" s="158"/>
      <c r="AD15" s="159" t="str">
        <f t="shared" si="3"/>
        <v/>
      </c>
      <c r="AE15" s="159" t="str">
        <f t="shared" si="3"/>
        <v/>
      </c>
      <c r="AF15" s="159" t="str">
        <f t="shared" si="3"/>
        <v/>
      </c>
      <c r="AG15" s="159" t="str">
        <f t="shared" si="3"/>
        <v/>
      </c>
      <c r="AH15" s="159" t="str">
        <f t="shared" si="3"/>
        <v/>
      </c>
      <c r="AI15" s="159" t="str">
        <f t="shared" si="3"/>
        <v/>
      </c>
      <c r="AJ15" s="159" t="str">
        <f t="shared" si="3"/>
        <v/>
      </c>
      <c r="AK15" s="159" t="str">
        <f t="shared" si="3"/>
        <v/>
      </c>
      <c r="AL15" s="159" t="str">
        <f t="shared" si="3"/>
        <v/>
      </c>
      <c r="AM15" s="159" t="str">
        <f t="shared" si="3"/>
        <v/>
      </c>
      <c r="AN15" s="159" t="str">
        <f t="shared" si="3"/>
        <v/>
      </c>
      <c r="AO15" s="159" t="str">
        <f t="shared" si="3"/>
        <v/>
      </c>
      <c r="AP15" s="159" t="str">
        <f t="shared" si="3"/>
        <v/>
      </c>
      <c r="AQ15" s="159" t="str">
        <f t="shared" si="3"/>
        <v/>
      </c>
      <c r="AR15" s="159" t="str">
        <f t="shared" si="3"/>
        <v/>
      </c>
      <c r="AS15" s="159" t="str">
        <f t="shared" si="3"/>
        <v/>
      </c>
      <c r="AT15" s="159" t="str">
        <f t="shared" si="3"/>
        <v/>
      </c>
      <c r="AU15" s="159" t="str">
        <f t="shared" si="3"/>
        <v/>
      </c>
      <c r="AV15" s="159" t="str">
        <f t="shared" si="3"/>
        <v/>
      </c>
      <c r="AW15" s="159" t="str">
        <f t="shared" si="3"/>
        <v/>
      </c>
      <c r="AX15" s="159" t="str">
        <f t="shared" si="3"/>
        <v/>
      </c>
      <c r="AY15" s="159" t="str">
        <f t="shared" si="3"/>
        <v/>
      </c>
      <c r="AZ15" s="159" t="str">
        <f t="shared" si="3"/>
        <v/>
      </c>
      <c r="BA15" s="159" t="str">
        <f t="shared" si="3"/>
        <v/>
      </c>
      <c r="BB15" s="159" t="str">
        <f t="shared" si="3"/>
        <v/>
      </c>
      <c r="BC15" s="159" t="str">
        <f t="shared" si="3"/>
        <v/>
      </c>
      <c r="BD15" s="159" t="str">
        <f t="shared" si="3"/>
        <v/>
      </c>
      <c r="BE15" s="159" t="str">
        <f t="shared" si="3"/>
        <v/>
      </c>
      <c r="BF15" s="159" t="str">
        <f t="shared" si="3"/>
        <v/>
      </c>
      <c r="BG15" s="159" t="str">
        <f t="shared" si="3"/>
        <v/>
      </c>
      <c r="BH15" s="159" t="str">
        <f t="shared" si="3"/>
        <v/>
      </c>
      <c r="BI15" s="159" t="str">
        <f t="shared" si="3"/>
        <v/>
      </c>
      <c r="BJ15" s="159" t="str">
        <f t="shared" si="3"/>
        <v/>
      </c>
      <c r="BK15" s="159" t="str">
        <f t="shared" si="3"/>
        <v/>
      </c>
      <c r="BL15" s="159" t="str">
        <f t="shared" si="3"/>
        <v/>
      </c>
      <c r="BM15" s="159" t="str">
        <f t="shared" si="3"/>
        <v/>
      </c>
      <c r="BN15" s="159" t="str">
        <f t="shared" si="3"/>
        <v/>
      </c>
      <c r="BO15" s="159" t="str">
        <f t="shared" si="3"/>
        <v/>
      </c>
      <c r="BP15" s="159" t="str">
        <f t="shared" si="3"/>
        <v/>
      </c>
      <c r="BQ15" s="159" t="str">
        <f t="shared" ref="BQ15:CE15" si="6">IF(BQ$9=$M15,$P15,IF(BQ$9=$Q15,$T15,IF(BQ$9=$U15,$X15,IF(BQ$9=$Y15,$AB15,IF(BQ$9=$L15,"ПС",IF(BQ$9=$I15,"КС",IF(AND(BQ$9&lt;$I15,BQ$9&gt;$L15),"--","")))))))</f>
        <v/>
      </c>
      <c r="BR15" s="159" t="str">
        <f t="shared" si="6"/>
        <v/>
      </c>
      <c r="BS15" s="159" t="str">
        <f t="shared" si="6"/>
        <v/>
      </c>
      <c r="BT15" s="159" t="str">
        <f t="shared" si="6"/>
        <v/>
      </c>
      <c r="BU15" s="159" t="str">
        <f t="shared" si="6"/>
        <v/>
      </c>
      <c r="BV15" s="159" t="str">
        <f t="shared" si="6"/>
        <v/>
      </c>
      <c r="BW15" s="159" t="str">
        <f t="shared" si="6"/>
        <v/>
      </c>
      <c r="BX15" s="159" t="str">
        <f t="shared" si="6"/>
        <v/>
      </c>
      <c r="BY15" s="159" t="str">
        <f t="shared" si="6"/>
        <v/>
      </c>
      <c r="BZ15" s="159" t="str">
        <f t="shared" si="6"/>
        <v/>
      </c>
      <c r="CA15" s="159" t="str">
        <f t="shared" si="6"/>
        <v/>
      </c>
      <c r="CB15" s="159" t="str">
        <f t="shared" si="6"/>
        <v/>
      </c>
      <c r="CC15" s="159" t="str">
        <f t="shared" si="6"/>
        <v/>
      </c>
      <c r="CD15" s="159" t="str">
        <f t="shared" si="6"/>
        <v/>
      </c>
      <c r="CE15" s="159" t="str">
        <f t="shared" si="6"/>
        <v/>
      </c>
      <c r="CF15" s="160">
        <f t="shared" si="4"/>
        <v>0</v>
      </c>
      <c r="CG15" s="161">
        <f t="shared" si="5"/>
        <v>0</v>
      </c>
    </row>
    <row r="16" spans="1:85" ht="12" customHeight="1" x14ac:dyDescent="0.2">
      <c r="A16" s="154">
        <v>6</v>
      </c>
      <c r="B16" s="155" t="s">
        <v>321</v>
      </c>
      <c r="C16" s="155" t="s">
        <v>317</v>
      </c>
      <c r="D16" s="155" t="s">
        <v>375</v>
      </c>
      <c r="E16" s="181">
        <v>12</v>
      </c>
      <c r="F16" s="315"/>
      <c r="G16" s="183">
        <f t="shared" si="2"/>
        <v>5568</v>
      </c>
      <c r="H16" s="155"/>
      <c r="I16" s="221"/>
      <c r="J16" s="155"/>
      <c r="K16" s="155"/>
      <c r="L16" s="155"/>
      <c r="M16" s="156"/>
      <c r="N16" s="154"/>
      <c r="O16" s="154"/>
      <c r="P16" s="157"/>
      <c r="Q16" s="156"/>
      <c r="R16" s="154"/>
      <c r="S16" s="154"/>
      <c r="T16" s="157"/>
      <c r="U16" s="156"/>
      <c r="V16" s="154"/>
      <c r="W16" s="154"/>
      <c r="X16" s="157"/>
      <c r="Y16" s="156"/>
      <c r="Z16" s="154"/>
      <c r="AA16" s="154"/>
      <c r="AB16" s="157"/>
      <c r="AC16" s="158"/>
      <c r="AD16" s="159" t="str">
        <f t="shared" ref="AD16:CE20" si="7">IF(AD$9=$M16,$P16,IF(AD$9=$Q16,$T16,IF(AD$9=$U16,$X16,IF(AD$9=$Y16,$AB16,IF(AD$9=$L16,"ПС",IF(AD$9=$I16,"КС",IF(AND(AD$9&lt;$I16,AD$9&gt;$L16),"--","")))))))</f>
        <v/>
      </c>
      <c r="AE16" s="159" t="str">
        <f t="shared" si="7"/>
        <v/>
      </c>
      <c r="AF16" s="159" t="str">
        <f t="shared" si="7"/>
        <v/>
      </c>
      <c r="AG16" s="159" t="str">
        <f t="shared" si="7"/>
        <v/>
      </c>
      <c r="AH16" s="159" t="str">
        <f t="shared" si="7"/>
        <v/>
      </c>
      <c r="AI16" s="159" t="str">
        <f t="shared" si="7"/>
        <v/>
      </c>
      <c r="AJ16" s="159" t="str">
        <f t="shared" si="7"/>
        <v/>
      </c>
      <c r="AK16" s="159" t="str">
        <f t="shared" si="7"/>
        <v/>
      </c>
      <c r="AL16" s="159" t="str">
        <f t="shared" si="7"/>
        <v/>
      </c>
      <c r="AM16" s="159" t="str">
        <f t="shared" si="7"/>
        <v/>
      </c>
      <c r="AN16" s="159" t="str">
        <f t="shared" si="7"/>
        <v/>
      </c>
      <c r="AO16" s="159" t="str">
        <f t="shared" si="7"/>
        <v/>
      </c>
      <c r="AP16" s="159" t="str">
        <f t="shared" si="7"/>
        <v/>
      </c>
      <c r="AQ16" s="159" t="str">
        <f t="shared" si="7"/>
        <v/>
      </c>
      <c r="AR16" s="159" t="str">
        <f t="shared" si="7"/>
        <v/>
      </c>
      <c r="AS16" s="159" t="str">
        <f t="shared" si="7"/>
        <v/>
      </c>
      <c r="AT16" s="159" t="str">
        <f t="shared" si="7"/>
        <v/>
      </c>
      <c r="AU16" s="159" t="str">
        <f t="shared" si="7"/>
        <v/>
      </c>
      <c r="AV16" s="159" t="str">
        <f t="shared" si="7"/>
        <v/>
      </c>
      <c r="AW16" s="159" t="str">
        <f t="shared" si="7"/>
        <v/>
      </c>
      <c r="AX16" s="159" t="str">
        <f t="shared" si="7"/>
        <v/>
      </c>
      <c r="AY16" s="159" t="str">
        <f t="shared" si="7"/>
        <v/>
      </c>
      <c r="AZ16" s="159" t="str">
        <f t="shared" si="7"/>
        <v/>
      </c>
      <c r="BA16" s="159" t="str">
        <f t="shared" si="7"/>
        <v/>
      </c>
      <c r="BB16" s="159" t="str">
        <f t="shared" si="7"/>
        <v/>
      </c>
      <c r="BC16" s="159" t="str">
        <f t="shared" si="7"/>
        <v/>
      </c>
      <c r="BD16" s="159" t="str">
        <f t="shared" si="7"/>
        <v/>
      </c>
      <c r="BE16" s="159" t="str">
        <f t="shared" si="7"/>
        <v/>
      </c>
      <c r="BF16" s="159" t="str">
        <f t="shared" si="7"/>
        <v/>
      </c>
      <c r="BG16" s="159" t="str">
        <f t="shared" si="7"/>
        <v/>
      </c>
      <c r="BH16" s="159" t="str">
        <f t="shared" si="7"/>
        <v/>
      </c>
      <c r="BI16" s="159" t="str">
        <f t="shared" si="7"/>
        <v/>
      </c>
      <c r="BJ16" s="159" t="str">
        <f t="shared" si="7"/>
        <v/>
      </c>
      <c r="BK16" s="159" t="str">
        <f t="shared" si="7"/>
        <v/>
      </c>
      <c r="BL16" s="159" t="str">
        <f t="shared" si="7"/>
        <v/>
      </c>
      <c r="BM16" s="159" t="str">
        <f t="shared" si="7"/>
        <v/>
      </c>
      <c r="BN16" s="159" t="str">
        <f t="shared" si="7"/>
        <v/>
      </c>
      <c r="BO16" s="159" t="str">
        <f t="shared" si="7"/>
        <v/>
      </c>
      <c r="BP16" s="159" t="str">
        <f t="shared" si="7"/>
        <v/>
      </c>
      <c r="BQ16" s="159" t="str">
        <f t="shared" si="7"/>
        <v/>
      </c>
      <c r="BR16" s="159" t="str">
        <f t="shared" si="7"/>
        <v/>
      </c>
      <c r="BS16" s="159" t="str">
        <f t="shared" si="7"/>
        <v/>
      </c>
      <c r="BT16" s="159" t="str">
        <f t="shared" si="7"/>
        <v/>
      </c>
      <c r="BU16" s="159" t="str">
        <f t="shared" si="7"/>
        <v/>
      </c>
      <c r="BV16" s="159" t="str">
        <f t="shared" si="7"/>
        <v/>
      </c>
      <c r="BW16" s="159" t="str">
        <f t="shared" si="7"/>
        <v/>
      </c>
      <c r="BX16" s="159" t="str">
        <f t="shared" si="7"/>
        <v/>
      </c>
      <c r="BY16" s="159" t="str">
        <f t="shared" si="7"/>
        <v/>
      </c>
      <c r="BZ16" s="159" t="str">
        <f t="shared" si="7"/>
        <v/>
      </c>
      <c r="CA16" s="159" t="str">
        <f t="shared" si="7"/>
        <v/>
      </c>
      <c r="CB16" s="159" t="str">
        <f t="shared" si="7"/>
        <v/>
      </c>
      <c r="CC16" s="159" t="str">
        <f t="shared" si="7"/>
        <v/>
      </c>
      <c r="CD16" s="159" t="str">
        <f t="shared" si="7"/>
        <v/>
      </c>
      <c r="CE16" s="159" t="str">
        <f t="shared" si="7"/>
        <v/>
      </c>
      <c r="CF16" s="160">
        <f t="shared" si="4"/>
        <v>0</v>
      </c>
      <c r="CG16" s="161">
        <f t="shared" si="5"/>
        <v>0</v>
      </c>
    </row>
    <row r="17" spans="1:85" ht="12" customHeight="1" x14ac:dyDescent="0.2">
      <c r="A17" s="154">
        <v>7</v>
      </c>
      <c r="B17" s="155" t="s">
        <v>325</v>
      </c>
      <c r="C17" s="155" t="s">
        <v>326</v>
      </c>
      <c r="D17" s="155" t="s">
        <v>375</v>
      </c>
      <c r="E17" s="181">
        <v>4</v>
      </c>
      <c r="F17" s="315"/>
      <c r="G17" s="183">
        <f t="shared" si="2"/>
        <v>1856</v>
      </c>
      <c r="H17" s="155"/>
      <c r="I17" s="221"/>
      <c r="J17" s="155"/>
      <c r="K17" s="155"/>
      <c r="L17" s="155"/>
      <c r="M17" s="156"/>
      <c r="N17" s="154"/>
      <c r="O17" s="154"/>
      <c r="P17" s="157"/>
      <c r="Q17" s="156"/>
      <c r="R17" s="154"/>
      <c r="S17" s="154"/>
      <c r="T17" s="157"/>
      <c r="U17" s="156"/>
      <c r="V17" s="154"/>
      <c r="W17" s="154"/>
      <c r="X17" s="157"/>
      <c r="Y17" s="156"/>
      <c r="Z17" s="154"/>
      <c r="AA17" s="154"/>
      <c r="AB17" s="157"/>
      <c r="AC17" s="158"/>
      <c r="AD17" s="159" t="str">
        <f t="shared" si="7"/>
        <v/>
      </c>
      <c r="AE17" s="159" t="str">
        <f t="shared" si="7"/>
        <v/>
      </c>
      <c r="AF17" s="159" t="str">
        <f t="shared" si="7"/>
        <v/>
      </c>
      <c r="AG17" s="159" t="str">
        <f t="shared" si="7"/>
        <v/>
      </c>
      <c r="AH17" s="159" t="str">
        <f t="shared" si="7"/>
        <v/>
      </c>
      <c r="AI17" s="159" t="str">
        <f t="shared" si="7"/>
        <v/>
      </c>
      <c r="AJ17" s="159" t="str">
        <f t="shared" si="7"/>
        <v/>
      </c>
      <c r="AK17" s="159" t="str">
        <f t="shared" si="7"/>
        <v/>
      </c>
      <c r="AL17" s="159" t="str">
        <f t="shared" si="7"/>
        <v/>
      </c>
      <c r="AM17" s="159" t="str">
        <f t="shared" si="7"/>
        <v/>
      </c>
      <c r="AN17" s="159" t="str">
        <f t="shared" si="7"/>
        <v/>
      </c>
      <c r="AO17" s="159" t="str">
        <f t="shared" si="7"/>
        <v/>
      </c>
      <c r="AP17" s="159" t="str">
        <f t="shared" si="7"/>
        <v/>
      </c>
      <c r="AQ17" s="159" t="str">
        <f t="shared" si="7"/>
        <v/>
      </c>
      <c r="AR17" s="159" t="str">
        <f t="shared" si="7"/>
        <v/>
      </c>
      <c r="AS17" s="159" t="str">
        <f t="shared" si="7"/>
        <v/>
      </c>
      <c r="AT17" s="159" t="str">
        <f t="shared" si="7"/>
        <v/>
      </c>
      <c r="AU17" s="159" t="str">
        <f t="shared" si="7"/>
        <v/>
      </c>
      <c r="AV17" s="159" t="str">
        <f t="shared" si="7"/>
        <v/>
      </c>
      <c r="AW17" s="159" t="str">
        <f t="shared" si="7"/>
        <v/>
      </c>
      <c r="AX17" s="159" t="str">
        <f t="shared" si="7"/>
        <v/>
      </c>
      <c r="AY17" s="159" t="str">
        <f t="shared" si="7"/>
        <v/>
      </c>
      <c r="AZ17" s="159" t="str">
        <f t="shared" si="7"/>
        <v/>
      </c>
      <c r="BA17" s="159" t="str">
        <f t="shared" si="7"/>
        <v/>
      </c>
      <c r="BB17" s="159" t="str">
        <f t="shared" si="7"/>
        <v/>
      </c>
      <c r="BC17" s="159" t="str">
        <f t="shared" si="7"/>
        <v/>
      </c>
      <c r="BD17" s="159" t="str">
        <f t="shared" si="7"/>
        <v/>
      </c>
      <c r="BE17" s="159" t="str">
        <f t="shared" si="7"/>
        <v/>
      </c>
      <c r="BF17" s="159" t="str">
        <f t="shared" si="7"/>
        <v/>
      </c>
      <c r="BG17" s="159" t="str">
        <f t="shared" si="7"/>
        <v/>
      </c>
      <c r="BH17" s="159" t="str">
        <f t="shared" si="7"/>
        <v/>
      </c>
      <c r="BI17" s="159" t="str">
        <f t="shared" si="7"/>
        <v/>
      </c>
      <c r="BJ17" s="159" t="str">
        <f t="shared" si="7"/>
        <v/>
      </c>
      <c r="BK17" s="159" t="str">
        <f t="shared" si="7"/>
        <v/>
      </c>
      <c r="BL17" s="159" t="str">
        <f t="shared" si="7"/>
        <v/>
      </c>
      <c r="BM17" s="159" t="str">
        <f t="shared" si="7"/>
        <v/>
      </c>
      <c r="BN17" s="159" t="str">
        <f t="shared" si="7"/>
        <v/>
      </c>
      <c r="BO17" s="159" t="str">
        <f t="shared" si="7"/>
        <v/>
      </c>
      <c r="BP17" s="159" t="str">
        <f t="shared" si="7"/>
        <v/>
      </c>
      <c r="BQ17" s="159" t="str">
        <f t="shared" si="7"/>
        <v/>
      </c>
      <c r="BR17" s="159" t="str">
        <f t="shared" si="7"/>
        <v/>
      </c>
      <c r="BS17" s="159" t="str">
        <f t="shared" si="7"/>
        <v/>
      </c>
      <c r="BT17" s="159" t="str">
        <f t="shared" si="7"/>
        <v/>
      </c>
      <c r="BU17" s="159" t="str">
        <f t="shared" si="7"/>
        <v/>
      </c>
      <c r="BV17" s="159" t="str">
        <f t="shared" si="7"/>
        <v/>
      </c>
      <c r="BW17" s="159" t="str">
        <f t="shared" si="7"/>
        <v/>
      </c>
      <c r="BX17" s="159" t="str">
        <f t="shared" si="7"/>
        <v/>
      </c>
      <c r="BY17" s="159" t="str">
        <f t="shared" si="7"/>
        <v/>
      </c>
      <c r="BZ17" s="159" t="str">
        <f t="shared" si="7"/>
        <v/>
      </c>
      <c r="CA17" s="159" t="str">
        <f t="shared" si="7"/>
        <v/>
      </c>
      <c r="CB17" s="159" t="str">
        <f t="shared" si="7"/>
        <v/>
      </c>
      <c r="CC17" s="159" t="str">
        <f t="shared" si="7"/>
        <v/>
      </c>
      <c r="CD17" s="159" t="str">
        <f t="shared" si="7"/>
        <v/>
      </c>
      <c r="CE17" s="159" t="str">
        <f t="shared" si="7"/>
        <v/>
      </c>
      <c r="CF17" s="160">
        <f t="shared" si="4"/>
        <v>0</v>
      </c>
      <c r="CG17" s="161">
        <f t="shared" si="5"/>
        <v>0</v>
      </c>
    </row>
    <row r="18" spans="1:85" ht="12" customHeight="1" x14ac:dyDescent="0.2">
      <c r="A18" s="154">
        <v>8</v>
      </c>
      <c r="B18" s="155" t="s">
        <v>335</v>
      </c>
      <c r="C18" s="155" t="s">
        <v>336</v>
      </c>
      <c r="D18" s="155" t="s">
        <v>375</v>
      </c>
      <c r="E18" s="181">
        <v>8</v>
      </c>
      <c r="F18" s="315"/>
      <c r="G18" s="183">
        <f t="shared" si="2"/>
        <v>3712</v>
      </c>
      <c r="H18" s="155"/>
      <c r="I18" s="221"/>
      <c r="J18" s="155"/>
      <c r="K18" s="155"/>
      <c r="L18" s="155"/>
      <c r="M18" s="156"/>
      <c r="N18" s="154"/>
      <c r="O18" s="154"/>
      <c r="P18" s="157"/>
      <c r="Q18" s="156"/>
      <c r="R18" s="154"/>
      <c r="S18" s="154"/>
      <c r="T18" s="157"/>
      <c r="U18" s="156"/>
      <c r="V18" s="154"/>
      <c r="W18" s="154"/>
      <c r="X18" s="157"/>
      <c r="Y18" s="156"/>
      <c r="Z18" s="154"/>
      <c r="AA18" s="154"/>
      <c r="AB18" s="157"/>
      <c r="AC18" s="158"/>
      <c r="AD18" s="159" t="str">
        <f t="shared" si="7"/>
        <v/>
      </c>
      <c r="AE18" s="159" t="str">
        <f t="shared" si="7"/>
        <v/>
      </c>
      <c r="AF18" s="159" t="str">
        <f t="shared" si="7"/>
        <v/>
      </c>
      <c r="AG18" s="159" t="str">
        <f t="shared" si="7"/>
        <v/>
      </c>
      <c r="AH18" s="159" t="str">
        <f t="shared" si="7"/>
        <v/>
      </c>
      <c r="AI18" s="159" t="str">
        <f t="shared" si="7"/>
        <v/>
      </c>
      <c r="AJ18" s="159" t="str">
        <f t="shared" si="7"/>
        <v/>
      </c>
      <c r="AK18" s="159" t="str">
        <f t="shared" si="7"/>
        <v/>
      </c>
      <c r="AL18" s="159" t="str">
        <f t="shared" si="7"/>
        <v/>
      </c>
      <c r="AM18" s="159" t="str">
        <f t="shared" si="7"/>
        <v/>
      </c>
      <c r="AN18" s="159" t="str">
        <f t="shared" si="7"/>
        <v/>
      </c>
      <c r="AO18" s="159" t="str">
        <f t="shared" si="7"/>
        <v/>
      </c>
      <c r="AP18" s="159" t="str">
        <f t="shared" si="7"/>
        <v/>
      </c>
      <c r="AQ18" s="159" t="str">
        <f t="shared" si="7"/>
        <v/>
      </c>
      <c r="AR18" s="159" t="str">
        <f t="shared" si="7"/>
        <v/>
      </c>
      <c r="AS18" s="159" t="str">
        <f t="shared" si="7"/>
        <v/>
      </c>
      <c r="AT18" s="159" t="str">
        <f t="shared" si="7"/>
        <v/>
      </c>
      <c r="AU18" s="159" t="str">
        <f t="shared" si="7"/>
        <v/>
      </c>
      <c r="AV18" s="159" t="str">
        <f t="shared" si="7"/>
        <v/>
      </c>
      <c r="AW18" s="159" t="str">
        <f t="shared" si="7"/>
        <v/>
      </c>
      <c r="AX18" s="159" t="str">
        <f t="shared" si="7"/>
        <v/>
      </c>
      <c r="AY18" s="159" t="str">
        <f t="shared" si="7"/>
        <v/>
      </c>
      <c r="AZ18" s="159" t="str">
        <f t="shared" si="7"/>
        <v/>
      </c>
      <c r="BA18" s="159" t="str">
        <f t="shared" si="7"/>
        <v/>
      </c>
      <c r="BB18" s="159" t="str">
        <f t="shared" si="7"/>
        <v/>
      </c>
      <c r="BC18" s="159" t="str">
        <f t="shared" si="7"/>
        <v/>
      </c>
      <c r="BD18" s="159" t="str">
        <f t="shared" si="7"/>
        <v/>
      </c>
      <c r="BE18" s="159" t="str">
        <f t="shared" si="7"/>
        <v/>
      </c>
      <c r="BF18" s="159" t="str">
        <f t="shared" si="7"/>
        <v/>
      </c>
      <c r="BG18" s="159" t="str">
        <f t="shared" si="7"/>
        <v/>
      </c>
      <c r="BH18" s="159" t="str">
        <f t="shared" si="7"/>
        <v/>
      </c>
      <c r="BI18" s="159" t="str">
        <f t="shared" si="7"/>
        <v/>
      </c>
      <c r="BJ18" s="159" t="str">
        <f t="shared" si="7"/>
        <v/>
      </c>
      <c r="BK18" s="159" t="str">
        <f t="shared" si="7"/>
        <v/>
      </c>
      <c r="BL18" s="159" t="str">
        <f t="shared" si="7"/>
        <v/>
      </c>
      <c r="BM18" s="159" t="str">
        <f t="shared" si="7"/>
        <v/>
      </c>
      <c r="BN18" s="159" t="str">
        <f t="shared" si="7"/>
        <v/>
      </c>
      <c r="BO18" s="159" t="str">
        <f t="shared" si="7"/>
        <v/>
      </c>
      <c r="BP18" s="159" t="str">
        <f t="shared" si="7"/>
        <v/>
      </c>
      <c r="BQ18" s="159" t="str">
        <f t="shared" si="7"/>
        <v/>
      </c>
      <c r="BR18" s="159" t="str">
        <f t="shared" si="7"/>
        <v/>
      </c>
      <c r="BS18" s="159" t="str">
        <f t="shared" si="7"/>
        <v/>
      </c>
      <c r="BT18" s="159" t="str">
        <f t="shared" si="7"/>
        <v/>
      </c>
      <c r="BU18" s="159" t="str">
        <f t="shared" si="7"/>
        <v/>
      </c>
      <c r="BV18" s="159" t="str">
        <f t="shared" si="7"/>
        <v/>
      </c>
      <c r="BW18" s="159" t="str">
        <f t="shared" si="7"/>
        <v/>
      </c>
      <c r="BX18" s="159" t="str">
        <f t="shared" si="7"/>
        <v/>
      </c>
      <c r="BY18" s="159" t="str">
        <f t="shared" si="7"/>
        <v/>
      </c>
      <c r="BZ18" s="159" t="str">
        <f t="shared" si="7"/>
        <v/>
      </c>
      <c r="CA18" s="159" t="str">
        <f t="shared" si="7"/>
        <v/>
      </c>
      <c r="CB18" s="159" t="str">
        <f t="shared" si="7"/>
        <v/>
      </c>
      <c r="CC18" s="159" t="str">
        <f t="shared" si="7"/>
        <v/>
      </c>
      <c r="CD18" s="159" t="str">
        <f t="shared" si="7"/>
        <v/>
      </c>
      <c r="CE18" s="159" t="str">
        <f t="shared" si="7"/>
        <v/>
      </c>
      <c r="CF18" s="160">
        <f t="shared" si="4"/>
        <v>0</v>
      </c>
      <c r="CG18" s="161">
        <f t="shared" si="5"/>
        <v>0</v>
      </c>
    </row>
    <row r="19" spans="1:85" ht="12" customHeight="1" x14ac:dyDescent="0.2">
      <c r="A19" s="154">
        <v>9</v>
      </c>
      <c r="B19" s="155" t="s">
        <v>322</v>
      </c>
      <c r="C19" s="155" t="s">
        <v>323</v>
      </c>
      <c r="D19" s="155" t="s">
        <v>375</v>
      </c>
      <c r="E19" s="181">
        <v>2</v>
      </c>
      <c r="F19" s="315"/>
      <c r="G19" s="183">
        <f t="shared" si="2"/>
        <v>928</v>
      </c>
      <c r="H19" s="155"/>
      <c r="I19" s="221"/>
      <c r="J19" s="155"/>
      <c r="K19" s="155"/>
      <c r="L19" s="155"/>
      <c r="M19" s="156"/>
      <c r="N19" s="154"/>
      <c r="O19" s="154"/>
      <c r="P19" s="157"/>
      <c r="Q19" s="156"/>
      <c r="R19" s="154"/>
      <c r="S19" s="154"/>
      <c r="T19" s="157"/>
      <c r="U19" s="156"/>
      <c r="V19" s="154"/>
      <c r="W19" s="154"/>
      <c r="X19" s="157"/>
      <c r="Y19" s="156"/>
      <c r="Z19" s="154"/>
      <c r="AA19" s="154"/>
      <c r="AB19" s="157"/>
      <c r="AC19" s="158"/>
      <c r="AD19" s="159" t="str">
        <f t="shared" si="7"/>
        <v/>
      </c>
      <c r="AE19" s="159" t="str">
        <f t="shared" si="7"/>
        <v/>
      </c>
      <c r="AF19" s="159" t="str">
        <f t="shared" si="7"/>
        <v/>
      </c>
      <c r="AG19" s="159" t="str">
        <f t="shared" si="7"/>
        <v/>
      </c>
      <c r="AH19" s="159" t="str">
        <f t="shared" si="7"/>
        <v/>
      </c>
      <c r="AI19" s="159" t="str">
        <f t="shared" si="7"/>
        <v/>
      </c>
      <c r="AJ19" s="159" t="str">
        <f t="shared" si="7"/>
        <v/>
      </c>
      <c r="AK19" s="159" t="str">
        <f t="shared" si="7"/>
        <v/>
      </c>
      <c r="AL19" s="159" t="str">
        <f t="shared" si="7"/>
        <v/>
      </c>
      <c r="AM19" s="159" t="str">
        <f t="shared" si="7"/>
        <v/>
      </c>
      <c r="AN19" s="159" t="str">
        <f t="shared" si="7"/>
        <v/>
      </c>
      <c r="AO19" s="159" t="str">
        <f t="shared" si="7"/>
        <v/>
      </c>
      <c r="AP19" s="159" t="str">
        <f t="shared" si="7"/>
        <v/>
      </c>
      <c r="AQ19" s="159" t="str">
        <f t="shared" si="7"/>
        <v/>
      </c>
      <c r="AR19" s="159" t="str">
        <f t="shared" si="7"/>
        <v/>
      </c>
      <c r="AS19" s="159" t="str">
        <f t="shared" si="7"/>
        <v/>
      </c>
      <c r="AT19" s="159" t="str">
        <f t="shared" si="7"/>
        <v/>
      </c>
      <c r="AU19" s="159" t="str">
        <f t="shared" si="7"/>
        <v/>
      </c>
      <c r="AV19" s="159" t="str">
        <f t="shared" si="7"/>
        <v/>
      </c>
      <c r="AW19" s="159" t="str">
        <f t="shared" si="7"/>
        <v/>
      </c>
      <c r="AX19" s="159" t="str">
        <f t="shared" si="7"/>
        <v/>
      </c>
      <c r="AY19" s="159" t="str">
        <f t="shared" si="7"/>
        <v/>
      </c>
      <c r="AZ19" s="159" t="str">
        <f t="shared" si="7"/>
        <v/>
      </c>
      <c r="BA19" s="159" t="str">
        <f t="shared" si="7"/>
        <v/>
      </c>
      <c r="BB19" s="159" t="str">
        <f t="shared" si="7"/>
        <v/>
      </c>
      <c r="BC19" s="159" t="str">
        <f t="shared" si="7"/>
        <v/>
      </c>
      <c r="BD19" s="159" t="str">
        <f t="shared" si="7"/>
        <v/>
      </c>
      <c r="BE19" s="159" t="str">
        <f t="shared" si="7"/>
        <v/>
      </c>
      <c r="BF19" s="159" t="str">
        <f t="shared" si="7"/>
        <v/>
      </c>
      <c r="BG19" s="159" t="str">
        <f t="shared" si="7"/>
        <v/>
      </c>
      <c r="BH19" s="159" t="str">
        <f t="shared" si="7"/>
        <v/>
      </c>
      <c r="BI19" s="159" t="str">
        <f t="shared" si="7"/>
        <v/>
      </c>
      <c r="BJ19" s="159" t="str">
        <f t="shared" si="7"/>
        <v/>
      </c>
      <c r="BK19" s="159" t="str">
        <f t="shared" si="7"/>
        <v/>
      </c>
      <c r="BL19" s="159" t="str">
        <f t="shared" si="7"/>
        <v/>
      </c>
      <c r="BM19" s="159" t="str">
        <f t="shared" si="7"/>
        <v/>
      </c>
      <c r="BN19" s="159" t="str">
        <f t="shared" si="7"/>
        <v/>
      </c>
      <c r="BO19" s="159" t="str">
        <f t="shared" si="7"/>
        <v/>
      </c>
      <c r="BP19" s="159" t="str">
        <f t="shared" si="7"/>
        <v/>
      </c>
      <c r="BQ19" s="159" t="str">
        <f t="shared" si="7"/>
        <v/>
      </c>
      <c r="BR19" s="159" t="str">
        <f t="shared" si="7"/>
        <v/>
      </c>
      <c r="BS19" s="159" t="str">
        <f t="shared" si="7"/>
        <v/>
      </c>
      <c r="BT19" s="159" t="str">
        <f t="shared" si="7"/>
        <v/>
      </c>
      <c r="BU19" s="159" t="str">
        <f t="shared" si="7"/>
        <v/>
      </c>
      <c r="BV19" s="159" t="str">
        <f t="shared" si="7"/>
        <v/>
      </c>
      <c r="BW19" s="159" t="str">
        <f t="shared" si="7"/>
        <v/>
      </c>
      <c r="BX19" s="159" t="str">
        <f t="shared" si="7"/>
        <v/>
      </c>
      <c r="BY19" s="159" t="str">
        <f t="shared" si="7"/>
        <v/>
      </c>
      <c r="BZ19" s="159" t="str">
        <f t="shared" si="7"/>
        <v/>
      </c>
      <c r="CA19" s="159" t="str">
        <f t="shared" si="7"/>
        <v/>
      </c>
      <c r="CB19" s="159" t="str">
        <f t="shared" si="7"/>
        <v/>
      </c>
      <c r="CC19" s="159" t="str">
        <f t="shared" si="7"/>
        <v/>
      </c>
      <c r="CD19" s="159" t="str">
        <f t="shared" si="7"/>
        <v/>
      </c>
      <c r="CE19" s="159" t="str">
        <f t="shared" si="7"/>
        <v/>
      </c>
      <c r="CF19" s="160">
        <f t="shared" si="4"/>
        <v>0</v>
      </c>
      <c r="CG19" s="161">
        <f t="shared" si="5"/>
        <v>0</v>
      </c>
    </row>
    <row r="20" spans="1:85" ht="12" customHeight="1" x14ac:dyDescent="0.2">
      <c r="A20" s="154">
        <v>10</v>
      </c>
      <c r="B20" s="155" t="s">
        <v>324</v>
      </c>
      <c r="C20" s="155" t="s">
        <v>323</v>
      </c>
      <c r="D20" s="155" t="s">
        <v>375</v>
      </c>
      <c r="E20" s="181">
        <v>2</v>
      </c>
      <c r="F20" s="315"/>
      <c r="G20" s="183">
        <f t="shared" si="2"/>
        <v>928</v>
      </c>
      <c r="H20" s="155"/>
      <c r="I20" s="221"/>
      <c r="J20" s="155"/>
      <c r="K20" s="155"/>
      <c r="L20" s="155"/>
      <c r="M20" s="156"/>
      <c r="N20" s="154"/>
      <c r="O20" s="154"/>
      <c r="P20" s="157"/>
      <c r="Q20" s="156"/>
      <c r="R20" s="154"/>
      <c r="S20" s="154"/>
      <c r="T20" s="157"/>
      <c r="U20" s="156"/>
      <c r="V20" s="154"/>
      <c r="W20" s="154"/>
      <c r="X20" s="157"/>
      <c r="Y20" s="156"/>
      <c r="Z20" s="154"/>
      <c r="AA20" s="154"/>
      <c r="AB20" s="157"/>
      <c r="AC20" s="158"/>
      <c r="AD20" s="159" t="str">
        <f t="shared" si="7"/>
        <v/>
      </c>
      <c r="AE20" s="159" t="str">
        <f t="shared" si="7"/>
        <v/>
      </c>
      <c r="AF20" s="159" t="str">
        <f t="shared" si="7"/>
        <v/>
      </c>
      <c r="AG20" s="159" t="str">
        <f t="shared" si="7"/>
        <v/>
      </c>
      <c r="AH20" s="159" t="str">
        <f t="shared" si="7"/>
        <v/>
      </c>
      <c r="AI20" s="159" t="str">
        <f t="shared" si="7"/>
        <v/>
      </c>
      <c r="AJ20" s="159" t="str">
        <f t="shared" si="7"/>
        <v/>
      </c>
      <c r="AK20" s="159" t="str">
        <f t="shared" si="7"/>
        <v/>
      </c>
      <c r="AL20" s="159" t="str">
        <f t="shared" si="7"/>
        <v/>
      </c>
      <c r="AM20" s="159" t="str">
        <f t="shared" si="7"/>
        <v/>
      </c>
      <c r="AN20" s="159" t="str">
        <f t="shared" si="7"/>
        <v/>
      </c>
      <c r="AO20" s="159" t="str">
        <f t="shared" si="7"/>
        <v/>
      </c>
      <c r="AP20" s="159" t="str">
        <f t="shared" si="7"/>
        <v/>
      </c>
      <c r="AQ20" s="159" t="str">
        <f t="shared" si="7"/>
        <v/>
      </c>
      <c r="AR20" s="159" t="str">
        <f t="shared" si="7"/>
        <v/>
      </c>
      <c r="AS20" s="159" t="str">
        <f t="shared" si="7"/>
        <v/>
      </c>
      <c r="AT20" s="159" t="str">
        <f t="shared" si="7"/>
        <v/>
      </c>
      <c r="AU20" s="159" t="str">
        <f t="shared" si="7"/>
        <v/>
      </c>
      <c r="AV20" s="159" t="str">
        <f t="shared" si="7"/>
        <v/>
      </c>
      <c r="AW20" s="159" t="str">
        <f t="shared" si="7"/>
        <v/>
      </c>
      <c r="AX20" s="159" t="str">
        <f t="shared" si="7"/>
        <v/>
      </c>
      <c r="AY20" s="159" t="str">
        <f t="shared" si="7"/>
        <v/>
      </c>
      <c r="AZ20" s="159" t="str">
        <f t="shared" si="7"/>
        <v/>
      </c>
      <c r="BA20" s="159" t="str">
        <f t="shared" si="7"/>
        <v/>
      </c>
      <c r="BB20" s="159" t="str">
        <f t="shared" si="7"/>
        <v/>
      </c>
      <c r="BC20" s="159" t="str">
        <f t="shared" si="7"/>
        <v/>
      </c>
      <c r="BD20" s="159" t="str">
        <f t="shared" si="7"/>
        <v/>
      </c>
      <c r="BE20" s="159" t="str">
        <f t="shared" si="7"/>
        <v/>
      </c>
      <c r="BF20" s="159" t="str">
        <f t="shared" si="7"/>
        <v/>
      </c>
      <c r="BG20" s="159" t="str">
        <f t="shared" si="7"/>
        <v/>
      </c>
      <c r="BH20" s="159" t="str">
        <f t="shared" si="7"/>
        <v/>
      </c>
      <c r="BI20" s="159" t="str">
        <f t="shared" si="7"/>
        <v/>
      </c>
      <c r="BJ20" s="159" t="str">
        <f t="shared" si="7"/>
        <v/>
      </c>
      <c r="BK20" s="159" t="str">
        <f t="shared" si="7"/>
        <v/>
      </c>
      <c r="BL20" s="159" t="str">
        <f t="shared" si="7"/>
        <v/>
      </c>
      <c r="BM20" s="159" t="str">
        <f t="shared" si="7"/>
        <v/>
      </c>
      <c r="BN20" s="159" t="str">
        <f t="shared" si="7"/>
        <v/>
      </c>
      <c r="BO20" s="159" t="str">
        <f t="shared" si="7"/>
        <v/>
      </c>
      <c r="BP20" s="159" t="str">
        <f t="shared" si="7"/>
        <v/>
      </c>
      <c r="BQ20" s="159" t="str">
        <f t="shared" ref="BQ20:CE20" si="8">IF(BQ$9=$M20,$P20,IF(BQ$9=$Q20,$T20,IF(BQ$9=$U20,$X20,IF(BQ$9=$Y20,$AB20,IF(BQ$9=$L20,"ПС",IF(BQ$9=$I20,"КС",IF(AND(BQ$9&lt;$I20,BQ$9&gt;$L20),"--","")))))))</f>
        <v/>
      </c>
      <c r="BR20" s="159" t="str">
        <f t="shared" si="8"/>
        <v/>
      </c>
      <c r="BS20" s="159" t="str">
        <f t="shared" si="8"/>
        <v/>
      </c>
      <c r="BT20" s="159" t="str">
        <f t="shared" si="8"/>
        <v/>
      </c>
      <c r="BU20" s="159" t="str">
        <f t="shared" si="8"/>
        <v/>
      </c>
      <c r="BV20" s="159" t="str">
        <f t="shared" si="8"/>
        <v/>
      </c>
      <c r="BW20" s="159" t="str">
        <f t="shared" si="8"/>
        <v/>
      </c>
      <c r="BX20" s="159" t="str">
        <f t="shared" si="8"/>
        <v/>
      </c>
      <c r="BY20" s="159" t="str">
        <f t="shared" si="8"/>
        <v/>
      </c>
      <c r="BZ20" s="159" t="str">
        <f t="shared" si="8"/>
        <v/>
      </c>
      <c r="CA20" s="159" t="str">
        <f t="shared" si="8"/>
        <v/>
      </c>
      <c r="CB20" s="159" t="str">
        <f t="shared" si="8"/>
        <v/>
      </c>
      <c r="CC20" s="159" t="str">
        <f t="shared" si="8"/>
        <v/>
      </c>
      <c r="CD20" s="159" t="str">
        <f t="shared" si="8"/>
        <v/>
      </c>
      <c r="CE20" s="159" t="str">
        <f t="shared" si="8"/>
        <v/>
      </c>
      <c r="CF20" s="160">
        <f t="shared" si="4"/>
        <v>0</v>
      </c>
      <c r="CG20" s="161">
        <f t="shared" si="5"/>
        <v>0</v>
      </c>
    </row>
    <row r="21" spans="1:85" ht="12" customHeight="1" x14ac:dyDescent="0.2">
      <c r="A21" s="154">
        <v>11</v>
      </c>
      <c r="B21" s="155" t="s">
        <v>337</v>
      </c>
      <c r="C21" s="155" t="s">
        <v>338</v>
      </c>
      <c r="D21" s="155" t="s">
        <v>375</v>
      </c>
      <c r="E21" s="181">
        <v>13</v>
      </c>
      <c r="F21" s="315"/>
      <c r="G21" s="183">
        <f t="shared" si="2"/>
        <v>6032</v>
      </c>
      <c r="H21" s="155"/>
      <c r="I21" s="221"/>
      <c r="J21" s="155"/>
      <c r="K21" s="155"/>
      <c r="L21" s="155"/>
      <c r="M21" s="156"/>
      <c r="N21" s="154"/>
      <c r="O21" s="154"/>
      <c r="P21" s="157"/>
      <c r="Q21" s="156"/>
      <c r="R21" s="154"/>
      <c r="S21" s="154"/>
      <c r="T21" s="157"/>
      <c r="U21" s="156"/>
      <c r="V21" s="154"/>
      <c r="W21" s="154"/>
      <c r="X21" s="157"/>
      <c r="Y21" s="156"/>
      <c r="Z21" s="154"/>
      <c r="AA21" s="154"/>
      <c r="AB21" s="157"/>
      <c r="AC21" s="158"/>
      <c r="AD21" s="159" t="str">
        <f t="shared" ref="AD21:CE21" si="9">IF(AD$9=$M21,$P21,IF(AD$9=$Q21,$T21,IF(AD$9=$U21,$X21,IF(AD$9=$Y21,$AB21,IF(AD$9=$L21,"ПС",IF(AD$9=$I21,"КС",IF(AND(AD$9&lt;$I21,AD$9&gt;$L21),"--","")))))))</f>
        <v/>
      </c>
      <c r="AE21" s="159" t="str">
        <f t="shared" si="9"/>
        <v/>
      </c>
      <c r="AF21" s="159" t="str">
        <f t="shared" si="9"/>
        <v/>
      </c>
      <c r="AG21" s="159" t="str">
        <f t="shared" si="9"/>
        <v/>
      </c>
      <c r="AH21" s="159" t="str">
        <f t="shared" si="9"/>
        <v/>
      </c>
      <c r="AI21" s="159" t="str">
        <f t="shared" si="9"/>
        <v/>
      </c>
      <c r="AJ21" s="159" t="str">
        <f t="shared" si="9"/>
        <v/>
      </c>
      <c r="AK21" s="159" t="str">
        <f t="shared" si="9"/>
        <v/>
      </c>
      <c r="AL21" s="159" t="str">
        <f t="shared" si="9"/>
        <v/>
      </c>
      <c r="AM21" s="159" t="str">
        <f t="shared" si="9"/>
        <v/>
      </c>
      <c r="AN21" s="159" t="str">
        <f t="shared" si="9"/>
        <v/>
      </c>
      <c r="AO21" s="159" t="str">
        <f t="shared" si="9"/>
        <v/>
      </c>
      <c r="AP21" s="159" t="str">
        <f t="shared" si="9"/>
        <v/>
      </c>
      <c r="AQ21" s="159" t="str">
        <f t="shared" si="9"/>
        <v/>
      </c>
      <c r="AR21" s="159" t="str">
        <f t="shared" si="9"/>
        <v/>
      </c>
      <c r="AS21" s="159" t="str">
        <f t="shared" si="9"/>
        <v/>
      </c>
      <c r="AT21" s="159" t="str">
        <f t="shared" si="9"/>
        <v/>
      </c>
      <c r="AU21" s="159" t="str">
        <f t="shared" si="9"/>
        <v/>
      </c>
      <c r="AV21" s="159" t="str">
        <f t="shared" si="9"/>
        <v/>
      </c>
      <c r="AW21" s="159" t="str">
        <f t="shared" si="9"/>
        <v/>
      </c>
      <c r="AX21" s="159" t="str">
        <f t="shared" si="9"/>
        <v/>
      </c>
      <c r="AY21" s="159" t="str">
        <f t="shared" si="9"/>
        <v/>
      </c>
      <c r="AZ21" s="159" t="str">
        <f t="shared" si="9"/>
        <v/>
      </c>
      <c r="BA21" s="159" t="str">
        <f t="shared" si="9"/>
        <v/>
      </c>
      <c r="BB21" s="159" t="str">
        <f t="shared" si="9"/>
        <v/>
      </c>
      <c r="BC21" s="159" t="str">
        <f t="shared" si="9"/>
        <v/>
      </c>
      <c r="BD21" s="159" t="str">
        <f t="shared" si="9"/>
        <v/>
      </c>
      <c r="BE21" s="159" t="str">
        <f t="shared" si="9"/>
        <v/>
      </c>
      <c r="BF21" s="159" t="str">
        <f t="shared" si="9"/>
        <v/>
      </c>
      <c r="BG21" s="159" t="str">
        <f t="shared" si="9"/>
        <v/>
      </c>
      <c r="BH21" s="159" t="str">
        <f t="shared" si="9"/>
        <v/>
      </c>
      <c r="BI21" s="159" t="str">
        <f t="shared" si="9"/>
        <v/>
      </c>
      <c r="BJ21" s="159" t="str">
        <f t="shared" si="9"/>
        <v/>
      </c>
      <c r="BK21" s="159" t="str">
        <f t="shared" si="9"/>
        <v/>
      </c>
      <c r="BL21" s="159" t="str">
        <f t="shared" si="9"/>
        <v/>
      </c>
      <c r="BM21" s="159" t="str">
        <f t="shared" si="9"/>
        <v/>
      </c>
      <c r="BN21" s="159" t="str">
        <f t="shared" si="9"/>
        <v/>
      </c>
      <c r="BO21" s="159" t="str">
        <f t="shared" si="9"/>
        <v/>
      </c>
      <c r="BP21" s="159" t="str">
        <f t="shared" si="9"/>
        <v/>
      </c>
      <c r="BQ21" s="159" t="str">
        <f t="shared" si="9"/>
        <v/>
      </c>
      <c r="BR21" s="159" t="str">
        <f t="shared" si="9"/>
        <v/>
      </c>
      <c r="BS21" s="159" t="str">
        <f t="shared" si="9"/>
        <v/>
      </c>
      <c r="BT21" s="159" t="str">
        <f t="shared" si="9"/>
        <v/>
      </c>
      <c r="BU21" s="159" t="str">
        <f t="shared" si="9"/>
        <v/>
      </c>
      <c r="BV21" s="159" t="str">
        <f t="shared" si="9"/>
        <v/>
      </c>
      <c r="BW21" s="159" t="str">
        <f t="shared" si="9"/>
        <v/>
      </c>
      <c r="BX21" s="159" t="str">
        <f t="shared" si="9"/>
        <v/>
      </c>
      <c r="BY21" s="159" t="str">
        <f t="shared" si="9"/>
        <v/>
      </c>
      <c r="BZ21" s="159" t="str">
        <f t="shared" si="9"/>
        <v/>
      </c>
      <c r="CA21" s="159" t="str">
        <f t="shared" si="9"/>
        <v/>
      </c>
      <c r="CB21" s="159" t="str">
        <f t="shared" si="9"/>
        <v/>
      </c>
      <c r="CC21" s="159" t="str">
        <f t="shared" si="9"/>
        <v/>
      </c>
      <c r="CD21" s="159" t="str">
        <f t="shared" si="9"/>
        <v/>
      </c>
      <c r="CE21" s="159" t="str">
        <f t="shared" si="9"/>
        <v/>
      </c>
      <c r="CF21" s="160">
        <f t="shared" si="4"/>
        <v>0</v>
      </c>
      <c r="CG21" s="161">
        <f t="shared" si="5"/>
        <v>0</v>
      </c>
    </row>
    <row r="22" spans="1:85" s="153" customFormat="1" ht="15" customHeight="1" x14ac:dyDescent="0.2">
      <c r="A22" s="312" t="s">
        <v>422</v>
      </c>
      <c r="B22" s="313"/>
      <c r="C22" s="144"/>
      <c r="D22" s="144"/>
      <c r="E22" s="144"/>
      <c r="F22" s="315"/>
      <c r="G22" s="144"/>
      <c r="H22" s="145"/>
      <c r="I22" s="145"/>
      <c r="J22" s="145"/>
      <c r="K22" s="146"/>
      <c r="L22" s="146"/>
      <c r="M22" s="147"/>
      <c r="N22" s="148"/>
      <c r="O22" s="148"/>
      <c r="P22" s="149"/>
      <c r="Q22" s="147"/>
      <c r="R22" s="148"/>
      <c r="S22" s="148"/>
      <c r="T22" s="149"/>
      <c r="U22" s="147"/>
      <c r="V22" s="148"/>
      <c r="W22" s="148"/>
      <c r="X22" s="149"/>
      <c r="Y22" s="147"/>
      <c r="Z22" s="148"/>
      <c r="AA22" s="148"/>
      <c r="AB22" s="149"/>
      <c r="AC22" s="148"/>
      <c r="AD22" s="150" t="str">
        <f>IF(OR(WEEKDAY(AD$9)=1,WEEKDAY(AD$9)=7),"В",IF(AD$9=$H$3,"О",""))</f>
        <v/>
      </c>
      <c r="AE22" s="150" t="str">
        <f t="shared" ref="AE22:CE22" si="10">IF(OR(WEEKDAY(AE$9)=1,WEEKDAY(AE$9)=7),"В",IF(AE$9=$H$3,"О",""))</f>
        <v/>
      </c>
      <c r="AF22" s="150" t="str">
        <f t="shared" si="10"/>
        <v/>
      </c>
      <c r="AG22" s="150" t="str">
        <f t="shared" si="10"/>
        <v>В</v>
      </c>
      <c r="AH22" s="150" t="str">
        <f t="shared" si="10"/>
        <v>В</v>
      </c>
      <c r="AI22" s="150" t="str">
        <f t="shared" si="10"/>
        <v/>
      </c>
      <c r="AJ22" s="150" t="str">
        <f t="shared" si="10"/>
        <v/>
      </c>
      <c r="AK22" s="150" t="str">
        <f t="shared" si="10"/>
        <v/>
      </c>
      <c r="AL22" s="150" t="str">
        <f t="shared" si="10"/>
        <v/>
      </c>
      <c r="AM22" s="150" t="str">
        <f t="shared" si="10"/>
        <v/>
      </c>
      <c r="AN22" s="150" t="str">
        <f t="shared" si="10"/>
        <v>В</v>
      </c>
      <c r="AO22" s="150" t="str">
        <f t="shared" si="10"/>
        <v>В</v>
      </c>
      <c r="AP22" s="150" t="str">
        <f t="shared" si="10"/>
        <v/>
      </c>
      <c r="AQ22" s="150" t="str">
        <f t="shared" si="10"/>
        <v/>
      </c>
      <c r="AR22" s="150" t="str">
        <f t="shared" si="10"/>
        <v/>
      </c>
      <c r="AS22" s="150" t="str">
        <f t="shared" si="10"/>
        <v/>
      </c>
      <c r="AT22" s="150" t="str">
        <f t="shared" si="10"/>
        <v/>
      </c>
      <c r="AU22" s="150" t="str">
        <f t="shared" si="10"/>
        <v>В</v>
      </c>
      <c r="AV22" s="150" t="str">
        <f t="shared" si="10"/>
        <v>В</v>
      </c>
      <c r="AW22" s="150" t="str">
        <f t="shared" si="10"/>
        <v/>
      </c>
      <c r="AX22" s="150" t="str">
        <f t="shared" si="10"/>
        <v/>
      </c>
      <c r="AY22" s="150" t="str">
        <f t="shared" si="10"/>
        <v/>
      </c>
      <c r="AZ22" s="150" t="str">
        <f t="shared" si="10"/>
        <v/>
      </c>
      <c r="BA22" s="150" t="str">
        <f t="shared" si="10"/>
        <v/>
      </c>
      <c r="BB22" s="150" t="str">
        <f t="shared" si="10"/>
        <v>В</v>
      </c>
      <c r="BC22" s="150" t="str">
        <f t="shared" si="10"/>
        <v>В</v>
      </c>
      <c r="BD22" s="150" t="str">
        <f t="shared" si="10"/>
        <v/>
      </c>
      <c r="BE22" s="150" t="str">
        <f t="shared" si="10"/>
        <v/>
      </c>
      <c r="BF22" s="150" t="str">
        <f t="shared" si="10"/>
        <v/>
      </c>
      <c r="BG22" s="150" t="str">
        <f t="shared" si="10"/>
        <v/>
      </c>
      <c r="BH22" s="150" t="str">
        <f t="shared" si="10"/>
        <v/>
      </c>
      <c r="BI22" s="150" t="str">
        <f t="shared" si="10"/>
        <v>В</v>
      </c>
      <c r="BJ22" s="150" t="str">
        <f t="shared" si="10"/>
        <v>В</v>
      </c>
      <c r="BK22" s="150" t="str">
        <f t="shared" si="10"/>
        <v/>
      </c>
      <c r="BL22" s="150" t="str">
        <f t="shared" si="10"/>
        <v/>
      </c>
      <c r="BM22" s="150" t="str">
        <f t="shared" si="10"/>
        <v/>
      </c>
      <c r="BN22" s="150" t="str">
        <f t="shared" si="10"/>
        <v/>
      </c>
      <c r="BO22" s="150" t="str">
        <f t="shared" si="10"/>
        <v/>
      </c>
      <c r="BP22" s="150" t="str">
        <f t="shared" si="10"/>
        <v>В</v>
      </c>
      <c r="BQ22" s="150" t="str">
        <f t="shared" si="10"/>
        <v>В</v>
      </c>
      <c r="BR22" s="150" t="str">
        <f t="shared" si="10"/>
        <v/>
      </c>
      <c r="BS22" s="150" t="str">
        <f t="shared" si="10"/>
        <v/>
      </c>
      <c r="BT22" s="150" t="str">
        <f t="shared" si="10"/>
        <v/>
      </c>
      <c r="BU22" s="150" t="str">
        <f t="shared" si="10"/>
        <v/>
      </c>
      <c r="BV22" s="150" t="str">
        <f t="shared" si="10"/>
        <v/>
      </c>
      <c r="BW22" s="150" t="str">
        <f t="shared" si="10"/>
        <v>В</v>
      </c>
      <c r="BX22" s="150" t="str">
        <f t="shared" si="10"/>
        <v>В</v>
      </c>
      <c r="BY22" s="150" t="str">
        <f t="shared" si="10"/>
        <v/>
      </c>
      <c r="BZ22" s="150" t="str">
        <f t="shared" si="10"/>
        <v/>
      </c>
      <c r="CA22" s="150" t="str">
        <f t="shared" si="10"/>
        <v/>
      </c>
      <c r="CB22" s="150" t="str">
        <f t="shared" si="10"/>
        <v/>
      </c>
      <c r="CC22" s="150" t="str">
        <f t="shared" si="10"/>
        <v/>
      </c>
      <c r="CD22" s="150" t="str">
        <f t="shared" si="10"/>
        <v>В</v>
      </c>
      <c r="CE22" s="150" t="str">
        <f t="shared" si="10"/>
        <v>В</v>
      </c>
      <c r="CF22" s="151"/>
      <c r="CG22" s="152"/>
    </row>
    <row r="23" spans="1:85" ht="12" customHeight="1" x14ac:dyDescent="0.2">
      <c r="A23" s="154">
        <v>1</v>
      </c>
      <c r="B23" s="155"/>
      <c r="C23" s="155" t="s">
        <v>371</v>
      </c>
      <c r="D23" s="155" t="s">
        <v>367</v>
      </c>
      <c r="E23" s="181">
        <v>39.5</v>
      </c>
      <c r="F23" s="315"/>
      <c r="G23" s="183">
        <f t="shared" ref="G23:G28" si="11">$F$10*E23</f>
        <v>18328</v>
      </c>
      <c r="H23" s="155"/>
      <c r="I23" s="221"/>
      <c r="J23" s="155"/>
      <c r="K23" s="155"/>
      <c r="L23" s="155"/>
      <c r="M23" s="156"/>
      <c r="N23" s="154"/>
      <c r="O23" s="154"/>
      <c r="P23" s="157"/>
      <c r="Q23" s="156"/>
      <c r="R23" s="154"/>
      <c r="S23" s="154"/>
      <c r="T23" s="157"/>
      <c r="U23" s="156"/>
      <c r="V23" s="154"/>
      <c r="W23" s="154"/>
      <c r="X23" s="157"/>
      <c r="Y23" s="156"/>
      <c r="Z23" s="154"/>
      <c r="AA23" s="154"/>
      <c r="AB23" s="157"/>
      <c r="AC23" s="158"/>
      <c r="AD23" s="159" t="str">
        <f t="shared" ref="AD23:CE27" si="12">IF(AD$9=$M23,$P23,IF(AD$9=$Q23,$T23,IF(AD$9=$U23,$X23,IF(AD$9=$Y23,$AB23,IF(AD$9=$L23,"ПС",IF(AD$9=$I23,"КС",IF(AND(AD$9&lt;$I23,AD$9&gt;$L23),"--","")))))))</f>
        <v/>
      </c>
      <c r="AE23" s="159" t="str">
        <f t="shared" si="12"/>
        <v/>
      </c>
      <c r="AF23" s="159" t="str">
        <f t="shared" si="12"/>
        <v/>
      </c>
      <c r="AG23" s="159" t="str">
        <f t="shared" si="12"/>
        <v/>
      </c>
      <c r="AH23" s="159" t="str">
        <f t="shared" si="12"/>
        <v/>
      </c>
      <c r="AI23" s="159" t="str">
        <f t="shared" si="12"/>
        <v/>
      </c>
      <c r="AJ23" s="159" t="str">
        <f t="shared" si="12"/>
        <v/>
      </c>
      <c r="AK23" s="159" t="str">
        <f t="shared" si="12"/>
        <v/>
      </c>
      <c r="AL23" s="159" t="str">
        <f t="shared" si="12"/>
        <v/>
      </c>
      <c r="AM23" s="159" t="str">
        <f t="shared" si="12"/>
        <v/>
      </c>
      <c r="AN23" s="159" t="str">
        <f t="shared" si="12"/>
        <v/>
      </c>
      <c r="AO23" s="159" t="str">
        <f t="shared" si="12"/>
        <v/>
      </c>
      <c r="AP23" s="159" t="str">
        <f t="shared" si="12"/>
        <v/>
      </c>
      <c r="AQ23" s="159" t="str">
        <f t="shared" si="12"/>
        <v/>
      </c>
      <c r="AR23" s="159" t="str">
        <f t="shared" si="12"/>
        <v/>
      </c>
      <c r="AS23" s="159" t="str">
        <f t="shared" si="12"/>
        <v/>
      </c>
      <c r="AT23" s="159" t="str">
        <f t="shared" si="12"/>
        <v/>
      </c>
      <c r="AU23" s="159" t="str">
        <f t="shared" si="12"/>
        <v/>
      </c>
      <c r="AV23" s="159" t="str">
        <f t="shared" si="12"/>
        <v/>
      </c>
      <c r="AW23" s="159" t="str">
        <f t="shared" si="12"/>
        <v/>
      </c>
      <c r="AX23" s="159" t="str">
        <f t="shared" si="12"/>
        <v/>
      </c>
      <c r="AY23" s="159" t="str">
        <f t="shared" si="12"/>
        <v/>
      </c>
      <c r="AZ23" s="159" t="str">
        <f t="shared" si="12"/>
        <v/>
      </c>
      <c r="BA23" s="159" t="str">
        <f t="shared" si="12"/>
        <v/>
      </c>
      <c r="BB23" s="159" t="str">
        <f t="shared" si="12"/>
        <v/>
      </c>
      <c r="BC23" s="159" t="str">
        <f t="shared" si="12"/>
        <v/>
      </c>
      <c r="BD23" s="159" t="str">
        <f t="shared" si="12"/>
        <v/>
      </c>
      <c r="BE23" s="159" t="str">
        <f t="shared" si="12"/>
        <v/>
      </c>
      <c r="BF23" s="159" t="str">
        <f t="shared" si="12"/>
        <v/>
      </c>
      <c r="BG23" s="159" t="str">
        <f t="shared" si="12"/>
        <v/>
      </c>
      <c r="BH23" s="159" t="str">
        <f t="shared" si="12"/>
        <v/>
      </c>
      <c r="BI23" s="159" t="str">
        <f t="shared" si="12"/>
        <v/>
      </c>
      <c r="BJ23" s="159" t="str">
        <f t="shared" si="12"/>
        <v/>
      </c>
      <c r="BK23" s="159" t="str">
        <f t="shared" si="12"/>
        <v/>
      </c>
      <c r="BL23" s="159" t="str">
        <f t="shared" si="12"/>
        <v/>
      </c>
      <c r="BM23" s="159" t="str">
        <f t="shared" si="12"/>
        <v/>
      </c>
      <c r="BN23" s="159" t="str">
        <f t="shared" si="12"/>
        <v/>
      </c>
      <c r="BO23" s="159" t="str">
        <f t="shared" si="12"/>
        <v/>
      </c>
      <c r="BP23" s="159" t="str">
        <f t="shared" si="12"/>
        <v/>
      </c>
      <c r="BQ23" s="159" t="str">
        <f t="shared" si="12"/>
        <v/>
      </c>
      <c r="BR23" s="159" t="str">
        <f t="shared" si="12"/>
        <v/>
      </c>
      <c r="BS23" s="159" t="str">
        <f t="shared" si="12"/>
        <v/>
      </c>
      <c r="BT23" s="159" t="str">
        <f t="shared" si="12"/>
        <v/>
      </c>
      <c r="BU23" s="159" t="str">
        <f t="shared" si="12"/>
        <v/>
      </c>
      <c r="BV23" s="159" t="str">
        <f t="shared" si="12"/>
        <v/>
      </c>
      <c r="BW23" s="159" t="str">
        <f t="shared" si="12"/>
        <v/>
      </c>
      <c r="BX23" s="159" t="str">
        <f t="shared" si="12"/>
        <v/>
      </c>
      <c r="BY23" s="159" t="str">
        <f t="shared" si="12"/>
        <v/>
      </c>
      <c r="BZ23" s="159" t="str">
        <f t="shared" si="12"/>
        <v/>
      </c>
      <c r="CA23" s="159" t="str">
        <f t="shared" si="12"/>
        <v/>
      </c>
      <c r="CB23" s="159" t="str">
        <f t="shared" si="12"/>
        <v/>
      </c>
      <c r="CC23" s="159" t="str">
        <f t="shared" si="12"/>
        <v/>
      </c>
      <c r="CD23" s="159" t="str">
        <f t="shared" si="12"/>
        <v/>
      </c>
      <c r="CE23" s="159" t="str">
        <f t="shared" si="12"/>
        <v/>
      </c>
      <c r="CF23" s="160">
        <f t="shared" ref="CF23:CF28" si="13">SUM(AB23+X23+T23+P23)</f>
        <v>0</v>
      </c>
      <c r="CG23" s="161">
        <f t="shared" ref="CG23:CG28" si="14">CF23/E23</f>
        <v>0</v>
      </c>
    </row>
    <row r="24" spans="1:85" ht="12" customHeight="1" x14ac:dyDescent="0.2">
      <c r="A24" s="154">
        <v>2</v>
      </c>
      <c r="B24" s="155"/>
      <c r="C24" s="155" t="s">
        <v>372</v>
      </c>
      <c r="D24" s="155" t="s">
        <v>369</v>
      </c>
      <c r="E24" s="181">
        <v>27.238199999999999</v>
      </c>
      <c r="F24" s="315"/>
      <c r="G24" s="183">
        <f t="shared" si="11"/>
        <v>12638.524799999999</v>
      </c>
      <c r="H24" s="155"/>
      <c r="I24" s="221"/>
      <c r="J24" s="155"/>
      <c r="K24" s="155"/>
      <c r="L24" s="155"/>
      <c r="M24" s="156"/>
      <c r="N24" s="154"/>
      <c r="O24" s="154"/>
      <c r="P24" s="157"/>
      <c r="Q24" s="156"/>
      <c r="R24" s="154"/>
      <c r="S24" s="154"/>
      <c r="T24" s="157"/>
      <c r="U24" s="156"/>
      <c r="V24" s="154"/>
      <c r="W24" s="154"/>
      <c r="X24" s="157"/>
      <c r="Y24" s="156"/>
      <c r="Z24" s="154"/>
      <c r="AA24" s="154"/>
      <c r="AB24" s="157"/>
      <c r="AC24" s="158"/>
      <c r="AD24" s="159" t="str">
        <f t="shared" si="12"/>
        <v/>
      </c>
      <c r="AE24" s="159" t="str">
        <f t="shared" si="12"/>
        <v/>
      </c>
      <c r="AF24" s="159" t="str">
        <f t="shared" si="12"/>
        <v/>
      </c>
      <c r="AG24" s="159" t="str">
        <f t="shared" si="12"/>
        <v/>
      </c>
      <c r="AH24" s="159" t="str">
        <f t="shared" si="12"/>
        <v/>
      </c>
      <c r="AI24" s="159" t="str">
        <f t="shared" si="12"/>
        <v/>
      </c>
      <c r="AJ24" s="159" t="str">
        <f t="shared" si="12"/>
        <v/>
      </c>
      <c r="AK24" s="159" t="str">
        <f t="shared" si="12"/>
        <v/>
      </c>
      <c r="AL24" s="159" t="str">
        <f t="shared" si="12"/>
        <v/>
      </c>
      <c r="AM24" s="159" t="str">
        <f t="shared" si="12"/>
        <v/>
      </c>
      <c r="AN24" s="159" t="str">
        <f t="shared" si="12"/>
        <v/>
      </c>
      <c r="AO24" s="159" t="str">
        <f t="shared" si="12"/>
        <v/>
      </c>
      <c r="AP24" s="159" t="str">
        <f t="shared" si="12"/>
        <v/>
      </c>
      <c r="AQ24" s="159" t="str">
        <f t="shared" si="12"/>
        <v/>
      </c>
      <c r="AR24" s="159" t="str">
        <f t="shared" si="12"/>
        <v/>
      </c>
      <c r="AS24" s="159" t="str">
        <f t="shared" si="12"/>
        <v/>
      </c>
      <c r="AT24" s="159" t="str">
        <f t="shared" si="12"/>
        <v/>
      </c>
      <c r="AU24" s="159" t="str">
        <f t="shared" si="12"/>
        <v/>
      </c>
      <c r="AV24" s="159" t="str">
        <f t="shared" si="12"/>
        <v/>
      </c>
      <c r="AW24" s="159" t="str">
        <f t="shared" si="12"/>
        <v/>
      </c>
      <c r="AX24" s="159" t="str">
        <f t="shared" si="12"/>
        <v/>
      </c>
      <c r="AY24" s="159" t="str">
        <f t="shared" si="12"/>
        <v/>
      </c>
      <c r="AZ24" s="159" t="str">
        <f t="shared" si="12"/>
        <v/>
      </c>
      <c r="BA24" s="159" t="str">
        <f t="shared" si="12"/>
        <v/>
      </c>
      <c r="BB24" s="159" t="str">
        <f t="shared" si="12"/>
        <v/>
      </c>
      <c r="BC24" s="159" t="str">
        <f t="shared" si="12"/>
        <v/>
      </c>
      <c r="BD24" s="159" t="str">
        <f t="shared" si="12"/>
        <v/>
      </c>
      <c r="BE24" s="159" t="str">
        <f t="shared" si="12"/>
        <v/>
      </c>
      <c r="BF24" s="159" t="str">
        <f t="shared" si="12"/>
        <v/>
      </c>
      <c r="BG24" s="159" t="str">
        <f t="shared" si="12"/>
        <v/>
      </c>
      <c r="BH24" s="159" t="str">
        <f t="shared" si="12"/>
        <v/>
      </c>
      <c r="BI24" s="159" t="str">
        <f t="shared" si="12"/>
        <v/>
      </c>
      <c r="BJ24" s="159" t="str">
        <f t="shared" si="12"/>
        <v/>
      </c>
      <c r="BK24" s="159" t="str">
        <f t="shared" si="12"/>
        <v/>
      </c>
      <c r="BL24" s="159" t="str">
        <f t="shared" si="12"/>
        <v/>
      </c>
      <c r="BM24" s="159" t="str">
        <f t="shared" si="12"/>
        <v/>
      </c>
      <c r="BN24" s="159" t="str">
        <f t="shared" si="12"/>
        <v/>
      </c>
      <c r="BO24" s="159" t="str">
        <f t="shared" si="12"/>
        <v/>
      </c>
      <c r="BP24" s="159" t="str">
        <f t="shared" si="12"/>
        <v/>
      </c>
      <c r="BQ24" s="159" t="str">
        <f t="shared" si="12"/>
        <v/>
      </c>
      <c r="BR24" s="159" t="str">
        <f t="shared" si="12"/>
        <v/>
      </c>
      <c r="BS24" s="159" t="str">
        <f t="shared" si="12"/>
        <v/>
      </c>
      <c r="BT24" s="159" t="str">
        <f t="shared" si="12"/>
        <v/>
      </c>
      <c r="BU24" s="159" t="str">
        <f t="shared" si="12"/>
        <v/>
      </c>
      <c r="BV24" s="159" t="str">
        <f t="shared" si="12"/>
        <v/>
      </c>
      <c r="BW24" s="159" t="str">
        <f t="shared" si="12"/>
        <v/>
      </c>
      <c r="BX24" s="159" t="str">
        <f t="shared" si="12"/>
        <v/>
      </c>
      <c r="BY24" s="159" t="str">
        <f t="shared" si="12"/>
        <v/>
      </c>
      <c r="BZ24" s="159" t="str">
        <f t="shared" si="12"/>
        <v/>
      </c>
      <c r="CA24" s="159" t="str">
        <f t="shared" si="12"/>
        <v/>
      </c>
      <c r="CB24" s="159" t="str">
        <f t="shared" si="12"/>
        <v/>
      </c>
      <c r="CC24" s="159" t="str">
        <f t="shared" si="12"/>
        <v/>
      </c>
      <c r="CD24" s="159" t="str">
        <f t="shared" si="12"/>
        <v/>
      </c>
      <c r="CE24" s="159" t="str">
        <f t="shared" si="12"/>
        <v/>
      </c>
      <c r="CF24" s="160">
        <f t="shared" si="13"/>
        <v>0</v>
      </c>
      <c r="CG24" s="161">
        <f t="shared" si="14"/>
        <v>0</v>
      </c>
    </row>
    <row r="25" spans="1:85" ht="12" customHeight="1" x14ac:dyDescent="0.2">
      <c r="A25" s="154">
        <v>3</v>
      </c>
      <c r="B25" s="155"/>
      <c r="C25" s="155" t="s">
        <v>373</v>
      </c>
      <c r="D25" s="155" t="s">
        <v>369</v>
      </c>
      <c r="E25" s="181">
        <v>23.192399999999999</v>
      </c>
      <c r="F25" s="315"/>
      <c r="G25" s="183">
        <f t="shared" si="11"/>
        <v>10761.2736</v>
      </c>
      <c r="H25" s="155"/>
      <c r="I25" s="221"/>
      <c r="J25" s="155"/>
      <c r="K25" s="155"/>
      <c r="L25" s="155"/>
      <c r="M25" s="156"/>
      <c r="N25" s="154"/>
      <c r="O25" s="154"/>
      <c r="P25" s="157"/>
      <c r="Q25" s="156"/>
      <c r="R25" s="154"/>
      <c r="S25" s="154"/>
      <c r="T25" s="157"/>
      <c r="U25" s="156"/>
      <c r="V25" s="154"/>
      <c r="W25" s="154"/>
      <c r="X25" s="157"/>
      <c r="Y25" s="156"/>
      <c r="Z25" s="154"/>
      <c r="AA25" s="154"/>
      <c r="AB25" s="157"/>
      <c r="AC25" s="158"/>
      <c r="AD25" s="159" t="str">
        <f t="shared" si="12"/>
        <v/>
      </c>
      <c r="AE25" s="159" t="str">
        <f t="shared" si="12"/>
        <v/>
      </c>
      <c r="AF25" s="159" t="str">
        <f t="shared" si="12"/>
        <v/>
      </c>
      <c r="AG25" s="159" t="str">
        <f t="shared" si="12"/>
        <v/>
      </c>
      <c r="AH25" s="159" t="str">
        <f t="shared" si="12"/>
        <v/>
      </c>
      <c r="AI25" s="159" t="str">
        <f t="shared" si="12"/>
        <v/>
      </c>
      <c r="AJ25" s="159" t="str">
        <f t="shared" si="12"/>
        <v/>
      </c>
      <c r="AK25" s="159" t="str">
        <f t="shared" si="12"/>
        <v/>
      </c>
      <c r="AL25" s="159" t="str">
        <f t="shared" si="12"/>
        <v/>
      </c>
      <c r="AM25" s="159" t="str">
        <f t="shared" si="12"/>
        <v/>
      </c>
      <c r="AN25" s="159" t="str">
        <f t="shared" si="12"/>
        <v/>
      </c>
      <c r="AO25" s="159" t="str">
        <f t="shared" si="12"/>
        <v/>
      </c>
      <c r="AP25" s="159" t="str">
        <f t="shared" si="12"/>
        <v/>
      </c>
      <c r="AQ25" s="159" t="str">
        <f t="shared" si="12"/>
        <v/>
      </c>
      <c r="AR25" s="159" t="str">
        <f t="shared" si="12"/>
        <v/>
      </c>
      <c r="AS25" s="159" t="str">
        <f t="shared" si="12"/>
        <v/>
      </c>
      <c r="AT25" s="159" t="str">
        <f t="shared" si="12"/>
        <v/>
      </c>
      <c r="AU25" s="159" t="str">
        <f t="shared" si="12"/>
        <v/>
      </c>
      <c r="AV25" s="159" t="str">
        <f t="shared" si="12"/>
        <v/>
      </c>
      <c r="AW25" s="159" t="str">
        <f t="shared" si="12"/>
        <v/>
      </c>
      <c r="AX25" s="159" t="str">
        <f t="shared" si="12"/>
        <v/>
      </c>
      <c r="AY25" s="159" t="str">
        <f t="shared" si="12"/>
        <v/>
      </c>
      <c r="AZ25" s="159" t="str">
        <f t="shared" si="12"/>
        <v/>
      </c>
      <c r="BA25" s="159" t="str">
        <f t="shared" si="12"/>
        <v/>
      </c>
      <c r="BB25" s="159" t="str">
        <f t="shared" si="12"/>
        <v/>
      </c>
      <c r="BC25" s="159" t="str">
        <f t="shared" si="12"/>
        <v/>
      </c>
      <c r="BD25" s="159" t="str">
        <f t="shared" si="12"/>
        <v/>
      </c>
      <c r="BE25" s="159" t="str">
        <f t="shared" si="12"/>
        <v/>
      </c>
      <c r="BF25" s="159" t="str">
        <f t="shared" si="12"/>
        <v/>
      </c>
      <c r="BG25" s="159" t="str">
        <f t="shared" si="12"/>
        <v/>
      </c>
      <c r="BH25" s="159" t="str">
        <f t="shared" si="12"/>
        <v/>
      </c>
      <c r="BI25" s="159" t="str">
        <f t="shared" si="12"/>
        <v/>
      </c>
      <c r="BJ25" s="159" t="str">
        <f t="shared" si="12"/>
        <v/>
      </c>
      <c r="BK25" s="159" t="str">
        <f t="shared" si="12"/>
        <v/>
      </c>
      <c r="BL25" s="159" t="str">
        <f t="shared" si="12"/>
        <v/>
      </c>
      <c r="BM25" s="159" t="str">
        <f t="shared" si="12"/>
        <v/>
      </c>
      <c r="BN25" s="159" t="str">
        <f t="shared" si="12"/>
        <v/>
      </c>
      <c r="BO25" s="159" t="str">
        <f t="shared" si="12"/>
        <v/>
      </c>
      <c r="BP25" s="159" t="str">
        <f t="shared" si="12"/>
        <v/>
      </c>
      <c r="BQ25" s="159" t="str">
        <f t="shared" si="12"/>
        <v/>
      </c>
      <c r="BR25" s="159" t="str">
        <f t="shared" si="12"/>
        <v/>
      </c>
      <c r="BS25" s="159" t="str">
        <f t="shared" si="12"/>
        <v/>
      </c>
      <c r="BT25" s="159" t="str">
        <f t="shared" si="12"/>
        <v/>
      </c>
      <c r="BU25" s="159" t="str">
        <f t="shared" si="12"/>
        <v/>
      </c>
      <c r="BV25" s="159" t="str">
        <f t="shared" si="12"/>
        <v/>
      </c>
      <c r="BW25" s="159" t="str">
        <f t="shared" si="12"/>
        <v/>
      </c>
      <c r="BX25" s="159" t="str">
        <f t="shared" si="12"/>
        <v/>
      </c>
      <c r="BY25" s="159" t="str">
        <f t="shared" si="12"/>
        <v/>
      </c>
      <c r="BZ25" s="159" t="str">
        <f t="shared" si="12"/>
        <v/>
      </c>
      <c r="CA25" s="159" t="str">
        <f t="shared" si="12"/>
        <v/>
      </c>
      <c r="CB25" s="159" t="str">
        <f t="shared" si="12"/>
        <v/>
      </c>
      <c r="CC25" s="159" t="str">
        <f t="shared" si="12"/>
        <v/>
      </c>
      <c r="CD25" s="159" t="str">
        <f t="shared" si="12"/>
        <v/>
      </c>
      <c r="CE25" s="159" t="str">
        <f t="shared" si="12"/>
        <v/>
      </c>
      <c r="CF25" s="160">
        <f t="shared" si="13"/>
        <v>0</v>
      </c>
      <c r="CG25" s="161">
        <f t="shared" si="14"/>
        <v>0</v>
      </c>
    </row>
    <row r="26" spans="1:85" ht="12" customHeight="1" x14ac:dyDescent="0.2">
      <c r="A26" s="154">
        <v>4</v>
      </c>
      <c r="B26" s="155"/>
      <c r="C26" s="155" t="s">
        <v>374</v>
      </c>
      <c r="D26" s="155" t="s">
        <v>369</v>
      </c>
      <c r="E26" s="181">
        <v>0.85799999999999998</v>
      </c>
      <c r="F26" s="315"/>
      <c r="G26" s="183">
        <f t="shared" si="11"/>
        <v>398.11199999999997</v>
      </c>
      <c r="H26" s="155"/>
      <c r="I26" s="221"/>
      <c r="J26" s="155"/>
      <c r="K26" s="155"/>
      <c r="L26" s="155"/>
      <c r="M26" s="156"/>
      <c r="N26" s="154"/>
      <c r="O26" s="154"/>
      <c r="P26" s="157"/>
      <c r="Q26" s="156"/>
      <c r="R26" s="154"/>
      <c r="S26" s="154"/>
      <c r="T26" s="157"/>
      <c r="U26" s="156"/>
      <c r="V26" s="154"/>
      <c r="W26" s="154"/>
      <c r="X26" s="157"/>
      <c r="Y26" s="156"/>
      <c r="Z26" s="154"/>
      <c r="AA26" s="154"/>
      <c r="AB26" s="157"/>
      <c r="AC26" s="158"/>
      <c r="AD26" s="159" t="str">
        <f t="shared" si="12"/>
        <v/>
      </c>
      <c r="AE26" s="159" t="str">
        <f t="shared" si="12"/>
        <v/>
      </c>
      <c r="AF26" s="159" t="str">
        <f t="shared" si="12"/>
        <v/>
      </c>
      <c r="AG26" s="159" t="str">
        <f t="shared" si="12"/>
        <v/>
      </c>
      <c r="AH26" s="159" t="str">
        <f t="shared" si="12"/>
        <v/>
      </c>
      <c r="AI26" s="159" t="str">
        <f t="shared" si="12"/>
        <v/>
      </c>
      <c r="AJ26" s="159" t="str">
        <f t="shared" si="12"/>
        <v/>
      </c>
      <c r="AK26" s="159" t="str">
        <f t="shared" si="12"/>
        <v/>
      </c>
      <c r="AL26" s="159" t="str">
        <f t="shared" si="12"/>
        <v/>
      </c>
      <c r="AM26" s="159" t="str">
        <f t="shared" si="12"/>
        <v/>
      </c>
      <c r="AN26" s="159" t="str">
        <f t="shared" si="12"/>
        <v/>
      </c>
      <c r="AO26" s="159" t="str">
        <f t="shared" si="12"/>
        <v/>
      </c>
      <c r="AP26" s="159" t="str">
        <f t="shared" si="12"/>
        <v/>
      </c>
      <c r="AQ26" s="159" t="str">
        <f t="shared" si="12"/>
        <v/>
      </c>
      <c r="AR26" s="159" t="str">
        <f t="shared" si="12"/>
        <v/>
      </c>
      <c r="AS26" s="159" t="str">
        <f t="shared" si="12"/>
        <v/>
      </c>
      <c r="AT26" s="159" t="str">
        <f t="shared" si="12"/>
        <v/>
      </c>
      <c r="AU26" s="159" t="str">
        <f t="shared" si="12"/>
        <v/>
      </c>
      <c r="AV26" s="159" t="str">
        <f t="shared" si="12"/>
        <v/>
      </c>
      <c r="AW26" s="159" t="str">
        <f t="shared" si="12"/>
        <v/>
      </c>
      <c r="AX26" s="159" t="str">
        <f t="shared" si="12"/>
        <v/>
      </c>
      <c r="AY26" s="159" t="str">
        <f t="shared" si="12"/>
        <v/>
      </c>
      <c r="AZ26" s="159" t="str">
        <f t="shared" si="12"/>
        <v/>
      </c>
      <c r="BA26" s="159" t="str">
        <f t="shared" si="12"/>
        <v/>
      </c>
      <c r="BB26" s="159" t="str">
        <f t="shared" si="12"/>
        <v/>
      </c>
      <c r="BC26" s="159" t="str">
        <f t="shared" si="12"/>
        <v/>
      </c>
      <c r="BD26" s="159" t="str">
        <f t="shared" si="12"/>
        <v/>
      </c>
      <c r="BE26" s="159" t="str">
        <f t="shared" si="12"/>
        <v/>
      </c>
      <c r="BF26" s="159" t="str">
        <f t="shared" si="12"/>
        <v/>
      </c>
      <c r="BG26" s="159" t="str">
        <f t="shared" si="12"/>
        <v/>
      </c>
      <c r="BH26" s="159" t="str">
        <f t="shared" si="12"/>
        <v/>
      </c>
      <c r="BI26" s="159" t="str">
        <f t="shared" si="12"/>
        <v/>
      </c>
      <c r="BJ26" s="159" t="str">
        <f t="shared" si="12"/>
        <v/>
      </c>
      <c r="BK26" s="159" t="str">
        <f t="shared" si="12"/>
        <v/>
      </c>
      <c r="BL26" s="159" t="str">
        <f t="shared" si="12"/>
        <v/>
      </c>
      <c r="BM26" s="159" t="str">
        <f t="shared" si="12"/>
        <v/>
      </c>
      <c r="BN26" s="159" t="str">
        <f t="shared" si="12"/>
        <v/>
      </c>
      <c r="BO26" s="159" t="str">
        <f t="shared" si="12"/>
        <v/>
      </c>
      <c r="BP26" s="159" t="str">
        <f t="shared" si="12"/>
        <v/>
      </c>
      <c r="BQ26" s="159" t="str">
        <f t="shared" si="12"/>
        <v/>
      </c>
      <c r="BR26" s="159" t="str">
        <f t="shared" si="12"/>
        <v/>
      </c>
      <c r="BS26" s="159" t="str">
        <f t="shared" si="12"/>
        <v/>
      </c>
      <c r="BT26" s="159" t="str">
        <f t="shared" si="12"/>
        <v/>
      </c>
      <c r="BU26" s="159" t="str">
        <f t="shared" si="12"/>
        <v/>
      </c>
      <c r="BV26" s="159" t="str">
        <f t="shared" si="12"/>
        <v/>
      </c>
      <c r="BW26" s="159" t="str">
        <f t="shared" si="12"/>
        <v/>
      </c>
      <c r="BX26" s="159" t="str">
        <f t="shared" si="12"/>
        <v/>
      </c>
      <c r="BY26" s="159" t="str">
        <f t="shared" si="12"/>
        <v/>
      </c>
      <c r="BZ26" s="159" t="str">
        <f t="shared" si="12"/>
        <v/>
      </c>
      <c r="CA26" s="159" t="str">
        <f t="shared" si="12"/>
        <v/>
      </c>
      <c r="CB26" s="159" t="str">
        <f t="shared" si="12"/>
        <v/>
      </c>
      <c r="CC26" s="159" t="str">
        <f t="shared" si="12"/>
        <v/>
      </c>
      <c r="CD26" s="159" t="str">
        <f t="shared" si="12"/>
        <v/>
      </c>
      <c r="CE26" s="159" t="str">
        <f t="shared" si="12"/>
        <v/>
      </c>
      <c r="CF26" s="160">
        <f t="shared" si="13"/>
        <v>0</v>
      </c>
      <c r="CG26" s="161">
        <f t="shared" si="14"/>
        <v>0</v>
      </c>
    </row>
    <row r="27" spans="1:85" ht="12" customHeight="1" x14ac:dyDescent="0.2">
      <c r="A27" s="154">
        <v>5</v>
      </c>
      <c r="B27" s="155"/>
      <c r="C27" s="155" t="s">
        <v>370</v>
      </c>
      <c r="D27" s="155" t="s">
        <v>369</v>
      </c>
      <c r="E27" s="181">
        <v>1.9316</v>
      </c>
      <c r="F27" s="315"/>
      <c r="G27" s="183">
        <f t="shared" si="11"/>
        <v>896.26239999999996</v>
      </c>
      <c r="H27" s="155"/>
      <c r="I27" s="221"/>
      <c r="J27" s="155"/>
      <c r="K27" s="155"/>
      <c r="L27" s="155"/>
      <c r="M27" s="156"/>
      <c r="N27" s="154"/>
      <c r="O27" s="154"/>
      <c r="P27" s="157"/>
      <c r="Q27" s="156"/>
      <c r="R27" s="154"/>
      <c r="S27" s="154"/>
      <c r="T27" s="157"/>
      <c r="U27" s="156"/>
      <c r="V27" s="154"/>
      <c r="W27" s="154"/>
      <c r="X27" s="157"/>
      <c r="Y27" s="156"/>
      <c r="Z27" s="154"/>
      <c r="AA27" s="154"/>
      <c r="AB27" s="157"/>
      <c r="AC27" s="158"/>
      <c r="AD27" s="159" t="str">
        <f t="shared" si="12"/>
        <v/>
      </c>
      <c r="AE27" s="159" t="str">
        <f t="shared" si="12"/>
        <v/>
      </c>
      <c r="AF27" s="159" t="str">
        <f t="shared" si="12"/>
        <v/>
      </c>
      <c r="AG27" s="159" t="str">
        <f t="shared" si="12"/>
        <v/>
      </c>
      <c r="AH27" s="159" t="str">
        <f t="shared" si="12"/>
        <v/>
      </c>
      <c r="AI27" s="159" t="str">
        <f t="shared" si="12"/>
        <v/>
      </c>
      <c r="AJ27" s="159" t="str">
        <f t="shared" si="12"/>
        <v/>
      </c>
      <c r="AK27" s="159" t="str">
        <f t="shared" si="12"/>
        <v/>
      </c>
      <c r="AL27" s="159" t="str">
        <f t="shared" si="12"/>
        <v/>
      </c>
      <c r="AM27" s="159" t="str">
        <f t="shared" si="12"/>
        <v/>
      </c>
      <c r="AN27" s="159" t="str">
        <f t="shared" si="12"/>
        <v/>
      </c>
      <c r="AO27" s="159" t="str">
        <f t="shared" si="12"/>
        <v/>
      </c>
      <c r="AP27" s="159" t="str">
        <f t="shared" si="12"/>
        <v/>
      </c>
      <c r="AQ27" s="159" t="str">
        <f t="shared" si="12"/>
        <v/>
      </c>
      <c r="AR27" s="159" t="str">
        <f t="shared" si="12"/>
        <v/>
      </c>
      <c r="AS27" s="159" t="str">
        <f t="shared" si="12"/>
        <v/>
      </c>
      <c r="AT27" s="159" t="str">
        <f t="shared" si="12"/>
        <v/>
      </c>
      <c r="AU27" s="159" t="str">
        <f t="shared" si="12"/>
        <v/>
      </c>
      <c r="AV27" s="159" t="str">
        <f t="shared" si="12"/>
        <v/>
      </c>
      <c r="AW27" s="159" t="str">
        <f t="shared" si="12"/>
        <v/>
      </c>
      <c r="AX27" s="159" t="str">
        <f t="shared" si="12"/>
        <v/>
      </c>
      <c r="AY27" s="159" t="str">
        <f t="shared" si="12"/>
        <v/>
      </c>
      <c r="AZ27" s="159" t="str">
        <f t="shared" si="12"/>
        <v/>
      </c>
      <c r="BA27" s="159" t="str">
        <f t="shared" si="12"/>
        <v/>
      </c>
      <c r="BB27" s="159" t="str">
        <f t="shared" si="12"/>
        <v/>
      </c>
      <c r="BC27" s="159" t="str">
        <f t="shared" si="12"/>
        <v/>
      </c>
      <c r="BD27" s="159" t="str">
        <f t="shared" si="12"/>
        <v/>
      </c>
      <c r="BE27" s="159" t="str">
        <f t="shared" si="12"/>
        <v/>
      </c>
      <c r="BF27" s="159" t="str">
        <f t="shared" si="12"/>
        <v/>
      </c>
      <c r="BG27" s="159" t="str">
        <f t="shared" si="12"/>
        <v/>
      </c>
      <c r="BH27" s="159" t="str">
        <f t="shared" si="12"/>
        <v/>
      </c>
      <c r="BI27" s="159" t="str">
        <f t="shared" si="12"/>
        <v/>
      </c>
      <c r="BJ27" s="159" t="str">
        <f t="shared" si="12"/>
        <v/>
      </c>
      <c r="BK27" s="159" t="str">
        <f t="shared" si="12"/>
        <v/>
      </c>
      <c r="BL27" s="159" t="str">
        <f t="shared" si="12"/>
        <v/>
      </c>
      <c r="BM27" s="159" t="str">
        <f t="shared" si="12"/>
        <v/>
      </c>
      <c r="BN27" s="159" t="str">
        <f t="shared" si="12"/>
        <v/>
      </c>
      <c r="BO27" s="159" t="str">
        <f t="shared" si="12"/>
        <v/>
      </c>
      <c r="BP27" s="159" t="str">
        <f t="shared" si="12"/>
        <v/>
      </c>
      <c r="BQ27" s="159" t="str">
        <f t="shared" ref="BQ27:CE27" si="15">IF(BQ$9=$M27,$P27,IF(BQ$9=$Q27,$T27,IF(BQ$9=$U27,$X27,IF(BQ$9=$Y27,$AB27,IF(BQ$9=$L27,"ПС",IF(BQ$9=$I27,"КС",IF(AND(BQ$9&lt;$I27,BQ$9&gt;$L27),"--","")))))))</f>
        <v/>
      </c>
      <c r="BR27" s="159" t="str">
        <f t="shared" si="15"/>
        <v/>
      </c>
      <c r="BS27" s="159" t="str">
        <f t="shared" si="15"/>
        <v/>
      </c>
      <c r="BT27" s="159" t="str">
        <f t="shared" si="15"/>
        <v/>
      </c>
      <c r="BU27" s="159" t="str">
        <f t="shared" si="15"/>
        <v/>
      </c>
      <c r="BV27" s="159" t="str">
        <f t="shared" si="15"/>
        <v/>
      </c>
      <c r="BW27" s="159" t="str">
        <f t="shared" si="15"/>
        <v/>
      </c>
      <c r="BX27" s="159" t="str">
        <f t="shared" si="15"/>
        <v/>
      </c>
      <c r="BY27" s="159" t="str">
        <f t="shared" si="15"/>
        <v/>
      </c>
      <c r="BZ27" s="159" t="str">
        <f t="shared" si="15"/>
        <v/>
      </c>
      <c r="CA27" s="159" t="str">
        <f t="shared" si="15"/>
        <v/>
      </c>
      <c r="CB27" s="159" t="str">
        <f t="shared" si="15"/>
        <v/>
      </c>
      <c r="CC27" s="159" t="str">
        <f t="shared" si="15"/>
        <v/>
      </c>
      <c r="CD27" s="159" t="str">
        <f t="shared" si="15"/>
        <v/>
      </c>
      <c r="CE27" s="159" t="str">
        <f t="shared" si="15"/>
        <v/>
      </c>
      <c r="CF27" s="160">
        <f t="shared" si="13"/>
        <v>0</v>
      </c>
      <c r="CG27" s="161">
        <f t="shared" si="14"/>
        <v>0</v>
      </c>
    </row>
    <row r="28" spans="1:85" ht="12" customHeight="1" x14ac:dyDescent="0.2">
      <c r="A28" s="154">
        <v>6</v>
      </c>
      <c r="B28" s="155"/>
      <c r="C28" s="155" t="s">
        <v>368</v>
      </c>
      <c r="D28" s="155" t="s">
        <v>369</v>
      </c>
      <c r="E28" s="181">
        <v>0.17599999999999999</v>
      </c>
      <c r="F28" s="315"/>
      <c r="G28" s="183">
        <f t="shared" si="11"/>
        <v>81.664000000000001</v>
      </c>
      <c r="H28" s="155"/>
      <c r="I28" s="221"/>
      <c r="J28" s="155"/>
      <c r="K28" s="155"/>
      <c r="L28" s="155"/>
      <c r="M28" s="156"/>
      <c r="N28" s="154"/>
      <c r="O28" s="154"/>
      <c r="P28" s="157"/>
      <c r="Q28" s="156"/>
      <c r="R28" s="154"/>
      <c r="S28" s="154"/>
      <c r="T28" s="157"/>
      <c r="U28" s="156"/>
      <c r="V28" s="154"/>
      <c r="W28" s="154"/>
      <c r="X28" s="157"/>
      <c r="Y28" s="156"/>
      <c r="Z28" s="154"/>
      <c r="AA28" s="154"/>
      <c r="AB28" s="157"/>
      <c r="AC28" s="158"/>
      <c r="AD28" s="159" t="str">
        <f t="shared" ref="AD28:CE28" si="16">IF(AD$9=$M28,$P28,IF(AD$9=$Q28,$T28,IF(AD$9=$U28,$X28,IF(AD$9=$Y28,$AB28,IF(AD$9=$L28,"ПС",IF(AD$9=$I28,"КС",IF(AND(AD$9&lt;$I28,AD$9&gt;$L28),"--","")))))))</f>
        <v/>
      </c>
      <c r="AE28" s="159" t="str">
        <f t="shared" si="16"/>
        <v/>
      </c>
      <c r="AF28" s="159" t="str">
        <f t="shared" si="16"/>
        <v/>
      </c>
      <c r="AG28" s="159" t="str">
        <f t="shared" si="16"/>
        <v/>
      </c>
      <c r="AH28" s="159" t="str">
        <f t="shared" si="16"/>
        <v/>
      </c>
      <c r="AI28" s="159" t="str">
        <f t="shared" si="16"/>
        <v/>
      </c>
      <c r="AJ28" s="159" t="str">
        <f t="shared" si="16"/>
        <v/>
      </c>
      <c r="AK28" s="159" t="str">
        <f t="shared" si="16"/>
        <v/>
      </c>
      <c r="AL28" s="159" t="str">
        <f t="shared" si="16"/>
        <v/>
      </c>
      <c r="AM28" s="159" t="str">
        <f t="shared" si="16"/>
        <v/>
      </c>
      <c r="AN28" s="159" t="str">
        <f t="shared" si="16"/>
        <v/>
      </c>
      <c r="AO28" s="159" t="str">
        <f t="shared" si="16"/>
        <v/>
      </c>
      <c r="AP28" s="159" t="str">
        <f t="shared" si="16"/>
        <v/>
      </c>
      <c r="AQ28" s="159" t="str">
        <f t="shared" si="16"/>
        <v/>
      </c>
      <c r="AR28" s="159" t="str">
        <f t="shared" si="16"/>
        <v/>
      </c>
      <c r="AS28" s="159" t="str">
        <f t="shared" si="16"/>
        <v/>
      </c>
      <c r="AT28" s="159" t="str">
        <f t="shared" si="16"/>
        <v/>
      </c>
      <c r="AU28" s="159" t="str">
        <f t="shared" si="16"/>
        <v/>
      </c>
      <c r="AV28" s="159" t="str">
        <f t="shared" si="16"/>
        <v/>
      </c>
      <c r="AW28" s="159" t="str">
        <f t="shared" si="16"/>
        <v/>
      </c>
      <c r="AX28" s="159" t="str">
        <f t="shared" si="16"/>
        <v/>
      </c>
      <c r="AY28" s="159" t="str">
        <f t="shared" si="16"/>
        <v/>
      </c>
      <c r="AZ28" s="159" t="str">
        <f t="shared" si="16"/>
        <v/>
      </c>
      <c r="BA28" s="159" t="str">
        <f t="shared" si="16"/>
        <v/>
      </c>
      <c r="BB28" s="159" t="str">
        <f t="shared" si="16"/>
        <v/>
      </c>
      <c r="BC28" s="159" t="str">
        <f t="shared" si="16"/>
        <v/>
      </c>
      <c r="BD28" s="159" t="str">
        <f t="shared" si="16"/>
        <v/>
      </c>
      <c r="BE28" s="159" t="str">
        <f t="shared" si="16"/>
        <v/>
      </c>
      <c r="BF28" s="159" t="str">
        <f t="shared" si="16"/>
        <v/>
      </c>
      <c r="BG28" s="159" t="str">
        <f t="shared" si="16"/>
        <v/>
      </c>
      <c r="BH28" s="159" t="str">
        <f t="shared" si="16"/>
        <v/>
      </c>
      <c r="BI28" s="159" t="str">
        <f t="shared" si="16"/>
        <v/>
      </c>
      <c r="BJ28" s="159" t="str">
        <f t="shared" si="16"/>
        <v/>
      </c>
      <c r="BK28" s="159" t="str">
        <f t="shared" si="16"/>
        <v/>
      </c>
      <c r="BL28" s="159" t="str">
        <f t="shared" si="16"/>
        <v/>
      </c>
      <c r="BM28" s="159" t="str">
        <f t="shared" si="16"/>
        <v/>
      </c>
      <c r="BN28" s="159" t="str">
        <f t="shared" si="16"/>
        <v/>
      </c>
      <c r="BO28" s="159" t="str">
        <f t="shared" si="16"/>
        <v/>
      </c>
      <c r="BP28" s="159" t="str">
        <f t="shared" si="16"/>
        <v/>
      </c>
      <c r="BQ28" s="159" t="str">
        <f t="shared" si="16"/>
        <v/>
      </c>
      <c r="BR28" s="159" t="str">
        <f t="shared" si="16"/>
        <v/>
      </c>
      <c r="BS28" s="159" t="str">
        <f t="shared" si="16"/>
        <v/>
      </c>
      <c r="BT28" s="159" t="str">
        <f t="shared" si="16"/>
        <v/>
      </c>
      <c r="BU28" s="159" t="str">
        <f t="shared" si="16"/>
        <v/>
      </c>
      <c r="BV28" s="159" t="str">
        <f t="shared" si="16"/>
        <v/>
      </c>
      <c r="BW28" s="159" t="str">
        <f t="shared" si="16"/>
        <v/>
      </c>
      <c r="BX28" s="159" t="str">
        <f t="shared" si="16"/>
        <v/>
      </c>
      <c r="BY28" s="159" t="str">
        <f t="shared" si="16"/>
        <v/>
      </c>
      <c r="BZ28" s="159" t="str">
        <f t="shared" si="16"/>
        <v/>
      </c>
      <c r="CA28" s="159" t="str">
        <f t="shared" si="16"/>
        <v/>
      </c>
      <c r="CB28" s="159" t="str">
        <f t="shared" si="16"/>
        <v/>
      </c>
      <c r="CC28" s="159" t="str">
        <f t="shared" si="16"/>
        <v/>
      </c>
      <c r="CD28" s="159" t="str">
        <f t="shared" si="16"/>
        <v/>
      </c>
      <c r="CE28" s="159" t="str">
        <f t="shared" si="16"/>
        <v/>
      </c>
      <c r="CF28" s="160">
        <f t="shared" si="13"/>
        <v>0</v>
      </c>
      <c r="CG28" s="161">
        <f t="shared" si="14"/>
        <v>0</v>
      </c>
    </row>
    <row r="29" spans="1:85" s="153" customFormat="1" ht="15" customHeight="1" x14ac:dyDescent="0.2">
      <c r="A29" s="312" t="s">
        <v>425</v>
      </c>
      <c r="B29" s="313"/>
      <c r="C29" s="144"/>
      <c r="D29" s="144"/>
      <c r="E29" s="144"/>
      <c r="F29" s="315"/>
      <c r="G29" s="144"/>
      <c r="H29" s="145"/>
      <c r="I29" s="145"/>
      <c r="J29" s="145"/>
      <c r="K29" s="146"/>
      <c r="L29" s="146"/>
      <c r="M29" s="147"/>
      <c r="N29" s="148"/>
      <c r="O29" s="148"/>
      <c r="P29" s="149"/>
      <c r="Q29" s="147"/>
      <c r="R29" s="148"/>
      <c r="S29" s="148"/>
      <c r="T29" s="149"/>
      <c r="U29" s="147"/>
      <c r="V29" s="148"/>
      <c r="W29" s="148"/>
      <c r="X29" s="149"/>
      <c r="Y29" s="147"/>
      <c r="Z29" s="148"/>
      <c r="AA29" s="148"/>
      <c r="AB29" s="149"/>
      <c r="AC29" s="148"/>
      <c r="AD29" s="150" t="str">
        <f>IF(OR(WEEKDAY(AD$9)=1,WEEKDAY(AD$9)=7),"В",IF(AD$9=$H$3,"О",""))</f>
        <v/>
      </c>
      <c r="AE29" s="150" t="str">
        <f t="shared" ref="AE29:CE29" si="17">IF(OR(WEEKDAY(AE$9)=1,WEEKDAY(AE$9)=7),"В",IF(AE$9=$H$3,"О",""))</f>
        <v/>
      </c>
      <c r="AF29" s="150" t="str">
        <f t="shared" si="17"/>
        <v/>
      </c>
      <c r="AG29" s="150" t="str">
        <f t="shared" si="17"/>
        <v>В</v>
      </c>
      <c r="AH29" s="150" t="str">
        <f t="shared" si="17"/>
        <v>В</v>
      </c>
      <c r="AI29" s="150" t="str">
        <f t="shared" si="17"/>
        <v/>
      </c>
      <c r="AJ29" s="150" t="str">
        <f t="shared" si="17"/>
        <v/>
      </c>
      <c r="AK29" s="150" t="str">
        <f t="shared" si="17"/>
        <v/>
      </c>
      <c r="AL29" s="150" t="str">
        <f t="shared" si="17"/>
        <v/>
      </c>
      <c r="AM29" s="150" t="str">
        <f t="shared" si="17"/>
        <v/>
      </c>
      <c r="AN29" s="150" t="str">
        <f t="shared" si="17"/>
        <v>В</v>
      </c>
      <c r="AO29" s="150" t="str">
        <f t="shared" si="17"/>
        <v>В</v>
      </c>
      <c r="AP29" s="150" t="str">
        <f t="shared" si="17"/>
        <v/>
      </c>
      <c r="AQ29" s="150" t="str">
        <f t="shared" si="17"/>
        <v/>
      </c>
      <c r="AR29" s="150" t="str">
        <f t="shared" si="17"/>
        <v/>
      </c>
      <c r="AS29" s="150" t="str">
        <f t="shared" si="17"/>
        <v/>
      </c>
      <c r="AT29" s="150" t="str">
        <f t="shared" si="17"/>
        <v/>
      </c>
      <c r="AU29" s="150" t="str">
        <f t="shared" si="17"/>
        <v>В</v>
      </c>
      <c r="AV29" s="150" t="str">
        <f t="shared" si="17"/>
        <v>В</v>
      </c>
      <c r="AW29" s="150" t="str">
        <f t="shared" si="17"/>
        <v/>
      </c>
      <c r="AX29" s="150" t="str">
        <f t="shared" si="17"/>
        <v/>
      </c>
      <c r="AY29" s="150" t="str">
        <f t="shared" si="17"/>
        <v/>
      </c>
      <c r="AZ29" s="150" t="str">
        <f t="shared" si="17"/>
        <v/>
      </c>
      <c r="BA29" s="150" t="str">
        <f t="shared" si="17"/>
        <v/>
      </c>
      <c r="BB29" s="150" t="str">
        <f t="shared" si="17"/>
        <v>В</v>
      </c>
      <c r="BC29" s="150" t="str">
        <f t="shared" si="17"/>
        <v>В</v>
      </c>
      <c r="BD29" s="150" t="str">
        <f t="shared" si="17"/>
        <v/>
      </c>
      <c r="BE29" s="150" t="str">
        <f t="shared" si="17"/>
        <v/>
      </c>
      <c r="BF29" s="150" t="str">
        <f t="shared" si="17"/>
        <v/>
      </c>
      <c r="BG29" s="150" t="str">
        <f t="shared" si="17"/>
        <v/>
      </c>
      <c r="BH29" s="150" t="str">
        <f t="shared" si="17"/>
        <v/>
      </c>
      <c r="BI29" s="150" t="str">
        <f t="shared" si="17"/>
        <v>В</v>
      </c>
      <c r="BJ29" s="150" t="str">
        <f t="shared" si="17"/>
        <v>В</v>
      </c>
      <c r="BK29" s="150" t="str">
        <f t="shared" si="17"/>
        <v/>
      </c>
      <c r="BL29" s="150" t="str">
        <f t="shared" si="17"/>
        <v/>
      </c>
      <c r="BM29" s="150" t="str">
        <f t="shared" si="17"/>
        <v/>
      </c>
      <c r="BN29" s="150" t="str">
        <f t="shared" si="17"/>
        <v/>
      </c>
      <c r="BO29" s="150" t="str">
        <f t="shared" si="17"/>
        <v/>
      </c>
      <c r="BP29" s="150" t="str">
        <f t="shared" si="17"/>
        <v>В</v>
      </c>
      <c r="BQ29" s="150" t="str">
        <f t="shared" si="17"/>
        <v>В</v>
      </c>
      <c r="BR29" s="150" t="str">
        <f t="shared" si="17"/>
        <v/>
      </c>
      <c r="BS29" s="150" t="str">
        <f t="shared" si="17"/>
        <v/>
      </c>
      <c r="BT29" s="150" t="str">
        <f t="shared" si="17"/>
        <v/>
      </c>
      <c r="BU29" s="150" t="str">
        <f t="shared" si="17"/>
        <v/>
      </c>
      <c r="BV29" s="150" t="str">
        <f t="shared" si="17"/>
        <v/>
      </c>
      <c r="BW29" s="150" t="str">
        <f t="shared" si="17"/>
        <v>В</v>
      </c>
      <c r="BX29" s="150" t="str">
        <f t="shared" si="17"/>
        <v>В</v>
      </c>
      <c r="BY29" s="150" t="str">
        <f t="shared" si="17"/>
        <v/>
      </c>
      <c r="BZ29" s="150" t="str">
        <f t="shared" si="17"/>
        <v/>
      </c>
      <c r="CA29" s="150" t="str">
        <f t="shared" si="17"/>
        <v/>
      </c>
      <c r="CB29" s="150" t="str">
        <f t="shared" si="17"/>
        <v/>
      </c>
      <c r="CC29" s="150" t="str">
        <f t="shared" si="17"/>
        <v/>
      </c>
      <c r="CD29" s="150" t="str">
        <f t="shared" si="17"/>
        <v>В</v>
      </c>
      <c r="CE29" s="150" t="str">
        <f t="shared" si="17"/>
        <v>В</v>
      </c>
      <c r="CF29" s="151"/>
      <c r="CG29" s="152"/>
    </row>
    <row r="30" spans="1:85" ht="12" customHeight="1" x14ac:dyDescent="0.2">
      <c r="A30" s="248">
        <v>1</v>
      </c>
      <c r="B30" s="343" t="s">
        <v>277</v>
      </c>
      <c r="C30" s="343" t="s">
        <v>278</v>
      </c>
      <c r="D30" s="155" t="s">
        <v>375</v>
      </c>
      <c r="E30" s="343">
        <v>4</v>
      </c>
      <c r="F30" s="315"/>
      <c r="G30" s="344">
        <f>E30*$F$10</f>
        <v>1856</v>
      </c>
      <c r="H30" s="343"/>
      <c r="I30" s="345"/>
      <c r="J30" s="343"/>
      <c r="K30" s="343"/>
      <c r="L30" s="343"/>
      <c r="M30" s="346"/>
      <c r="N30" s="347"/>
      <c r="O30" s="347"/>
      <c r="P30" s="348"/>
      <c r="Q30" s="346"/>
      <c r="R30" s="347"/>
      <c r="S30" s="347"/>
      <c r="T30" s="348"/>
      <c r="U30" s="346"/>
      <c r="V30" s="347"/>
      <c r="W30" s="347"/>
      <c r="X30" s="348"/>
      <c r="Y30" s="346"/>
      <c r="Z30" s="347"/>
      <c r="AA30" s="347"/>
      <c r="AB30" s="348"/>
      <c r="AC30" s="349"/>
      <c r="AD30" s="350"/>
      <c r="AE30" s="350"/>
      <c r="AF30" s="350"/>
      <c r="AG30" s="350"/>
      <c r="AH30" s="350"/>
      <c r="AI30" s="350"/>
      <c r="AJ30" s="350"/>
      <c r="AK30" s="350"/>
      <c r="AL30" s="350"/>
      <c r="AM30" s="350"/>
      <c r="AN30" s="350"/>
      <c r="AO30" s="350"/>
      <c r="AP30" s="350"/>
      <c r="AQ30" s="350"/>
      <c r="AR30" s="350"/>
      <c r="AS30" s="350"/>
      <c r="AT30" s="350"/>
      <c r="AU30" s="350"/>
      <c r="AV30" s="350"/>
      <c r="AW30" s="350"/>
      <c r="AX30" s="350"/>
      <c r="AY30" s="350"/>
      <c r="AZ30" s="350"/>
      <c r="BA30" s="350"/>
      <c r="BB30" s="350"/>
      <c r="BC30" s="350"/>
      <c r="BD30" s="350"/>
      <c r="BE30" s="350"/>
      <c r="BF30" s="350"/>
      <c r="BG30" s="350"/>
      <c r="BH30" s="350"/>
      <c r="BI30" s="350"/>
      <c r="BJ30" s="350"/>
      <c r="BK30" s="350"/>
      <c r="BL30" s="350"/>
      <c r="BM30" s="350"/>
      <c r="BN30" s="350"/>
      <c r="BO30" s="350"/>
      <c r="BP30" s="350"/>
      <c r="BQ30" s="350"/>
      <c r="BR30" s="350"/>
      <c r="BS30" s="350"/>
      <c r="BT30" s="350"/>
      <c r="BU30" s="350"/>
      <c r="BV30" s="350"/>
      <c r="BW30" s="350"/>
      <c r="BX30" s="350"/>
      <c r="BY30" s="350"/>
      <c r="BZ30" s="350"/>
      <c r="CA30" s="350"/>
      <c r="CB30" s="350"/>
      <c r="CC30" s="350"/>
      <c r="CD30" s="350"/>
      <c r="CE30" s="350"/>
      <c r="CF30" s="160"/>
      <c r="CG30" s="161"/>
    </row>
    <row r="31" spans="1:85" s="153" customFormat="1" ht="15" customHeight="1" x14ac:dyDescent="0.2">
      <c r="A31" s="312" t="s">
        <v>172</v>
      </c>
      <c r="B31" s="313"/>
      <c r="C31" s="144"/>
      <c r="D31" s="144"/>
      <c r="E31" s="144"/>
      <c r="F31" s="315"/>
      <c r="G31" s="144"/>
      <c r="H31" s="145"/>
      <c r="I31" s="145"/>
      <c r="J31" s="145"/>
      <c r="K31" s="146"/>
      <c r="L31" s="146"/>
      <c r="M31" s="147"/>
      <c r="N31" s="148"/>
      <c r="O31" s="148"/>
      <c r="P31" s="149"/>
      <c r="Q31" s="147"/>
      <c r="R31" s="148"/>
      <c r="S31" s="148"/>
      <c r="T31" s="149"/>
      <c r="U31" s="147"/>
      <c r="V31" s="148"/>
      <c r="W31" s="148"/>
      <c r="X31" s="149"/>
      <c r="Y31" s="147"/>
      <c r="Z31" s="148"/>
      <c r="AA31" s="148"/>
      <c r="AB31" s="149"/>
      <c r="AC31" s="148"/>
      <c r="AD31" s="150" t="str">
        <f>IF(OR(WEEKDAY(AD$9)=1,WEEKDAY(AD$9)=7),"В",IF(AD$9=$H$3,"О",""))</f>
        <v/>
      </c>
      <c r="AE31" s="150" t="str">
        <f t="shared" ref="AE31:CE31" si="18">IF(OR(WEEKDAY(AE$9)=1,WEEKDAY(AE$9)=7),"В",IF(AE$9=$H$3,"О",""))</f>
        <v/>
      </c>
      <c r="AF31" s="150" t="str">
        <f t="shared" si="18"/>
        <v/>
      </c>
      <c r="AG31" s="150" t="str">
        <f t="shared" si="18"/>
        <v>В</v>
      </c>
      <c r="AH31" s="150" t="str">
        <f t="shared" si="18"/>
        <v>В</v>
      </c>
      <c r="AI31" s="150" t="str">
        <f t="shared" si="18"/>
        <v/>
      </c>
      <c r="AJ31" s="150" t="str">
        <f t="shared" si="18"/>
        <v/>
      </c>
      <c r="AK31" s="150" t="str">
        <f t="shared" si="18"/>
        <v/>
      </c>
      <c r="AL31" s="150" t="str">
        <f t="shared" si="18"/>
        <v/>
      </c>
      <c r="AM31" s="150" t="str">
        <f t="shared" si="18"/>
        <v/>
      </c>
      <c r="AN31" s="150" t="str">
        <f t="shared" si="18"/>
        <v>В</v>
      </c>
      <c r="AO31" s="150" t="str">
        <f t="shared" si="18"/>
        <v>В</v>
      </c>
      <c r="AP31" s="150" t="str">
        <f t="shared" si="18"/>
        <v/>
      </c>
      <c r="AQ31" s="150" t="str">
        <f t="shared" si="18"/>
        <v/>
      </c>
      <c r="AR31" s="150" t="str">
        <f t="shared" si="18"/>
        <v/>
      </c>
      <c r="AS31" s="150" t="str">
        <f t="shared" si="18"/>
        <v/>
      </c>
      <c r="AT31" s="150" t="str">
        <f t="shared" si="18"/>
        <v/>
      </c>
      <c r="AU31" s="150" t="str">
        <f t="shared" si="18"/>
        <v>В</v>
      </c>
      <c r="AV31" s="150" t="str">
        <f t="shared" si="18"/>
        <v>В</v>
      </c>
      <c r="AW31" s="150" t="str">
        <f t="shared" si="18"/>
        <v/>
      </c>
      <c r="AX31" s="150" t="str">
        <f t="shared" si="18"/>
        <v/>
      </c>
      <c r="AY31" s="150" t="str">
        <f t="shared" si="18"/>
        <v/>
      </c>
      <c r="AZ31" s="150" t="str">
        <f t="shared" si="18"/>
        <v/>
      </c>
      <c r="BA31" s="150" t="str">
        <f t="shared" si="18"/>
        <v/>
      </c>
      <c r="BB31" s="150" t="str">
        <f t="shared" si="18"/>
        <v>В</v>
      </c>
      <c r="BC31" s="150" t="str">
        <f t="shared" si="18"/>
        <v>В</v>
      </c>
      <c r="BD31" s="150" t="str">
        <f t="shared" si="18"/>
        <v/>
      </c>
      <c r="BE31" s="150" t="str">
        <f t="shared" si="18"/>
        <v/>
      </c>
      <c r="BF31" s="150" t="str">
        <f t="shared" si="18"/>
        <v/>
      </c>
      <c r="BG31" s="150" t="str">
        <f t="shared" si="18"/>
        <v/>
      </c>
      <c r="BH31" s="150" t="str">
        <f t="shared" si="18"/>
        <v/>
      </c>
      <c r="BI31" s="150" t="str">
        <f t="shared" si="18"/>
        <v>В</v>
      </c>
      <c r="BJ31" s="150" t="str">
        <f t="shared" si="18"/>
        <v>В</v>
      </c>
      <c r="BK31" s="150" t="str">
        <f t="shared" si="18"/>
        <v/>
      </c>
      <c r="BL31" s="150" t="str">
        <f t="shared" si="18"/>
        <v/>
      </c>
      <c r="BM31" s="150" t="str">
        <f t="shared" si="18"/>
        <v/>
      </c>
      <c r="BN31" s="150" t="str">
        <f t="shared" si="18"/>
        <v/>
      </c>
      <c r="BO31" s="150" t="str">
        <f t="shared" si="18"/>
        <v/>
      </c>
      <c r="BP31" s="150" t="str">
        <f t="shared" si="18"/>
        <v>В</v>
      </c>
      <c r="BQ31" s="150" t="str">
        <f t="shared" si="18"/>
        <v>В</v>
      </c>
      <c r="BR31" s="150" t="str">
        <f t="shared" si="18"/>
        <v/>
      </c>
      <c r="BS31" s="150" t="str">
        <f t="shared" si="18"/>
        <v/>
      </c>
      <c r="BT31" s="150" t="str">
        <f t="shared" si="18"/>
        <v/>
      </c>
      <c r="BU31" s="150" t="str">
        <f t="shared" si="18"/>
        <v/>
      </c>
      <c r="BV31" s="150" t="str">
        <f t="shared" si="18"/>
        <v/>
      </c>
      <c r="BW31" s="150" t="str">
        <f t="shared" si="18"/>
        <v>В</v>
      </c>
      <c r="BX31" s="150" t="str">
        <f t="shared" si="18"/>
        <v>В</v>
      </c>
      <c r="BY31" s="150" t="str">
        <f t="shared" si="18"/>
        <v/>
      </c>
      <c r="BZ31" s="150" t="str">
        <f t="shared" si="18"/>
        <v/>
      </c>
      <c r="CA31" s="150" t="str">
        <f t="shared" si="18"/>
        <v/>
      </c>
      <c r="CB31" s="150" t="str">
        <f t="shared" si="18"/>
        <v/>
      </c>
      <c r="CC31" s="150" t="str">
        <f t="shared" si="18"/>
        <v/>
      </c>
      <c r="CD31" s="150" t="str">
        <f t="shared" si="18"/>
        <v>В</v>
      </c>
      <c r="CE31" s="150" t="str">
        <f t="shared" si="18"/>
        <v>В</v>
      </c>
      <c r="CF31" s="151"/>
      <c r="CG31" s="152"/>
    </row>
    <row r="32" spans="1:85" ht="12" customHeight="1" x14ac:dyDescent="0.2">
      <c r="A32" s="154">
        <v>1</v>
      </c>
      <c r="B32" s="155"/>
      <c r="C32" s="155" t="s">
        <v>351</v>
      </c>
      <c r="D32" s="155" t="s">
        <v>375</v>
      </c>
      <c r="E32" s="181">
        <v>4</v>
      </c>
      <c r="F32" s="315"/>
      <c r="G32" s="183">
        <f t="shared" ref="G32:G38" si="19">$F$10*E32</f>
        <v>1856</v>
      </c>
      <c r="H32" s="155"/>
      <c r="I32" s="221"/>
      <c r="J32" s="155"/>
      <c r="K32" s="155"/>
      <c r="L32" s="155"/>
      <c r="M32" s="156"/>
      <c r="N32" s="154"/>
      <c r="O32" s="154"/>
      <c r="P32" s="157"/>
      <c r="Q32" s="156"/>
      <c r="R32" s="154"/>
      <c r="S32" s="154"/>
      <c r="T32" s="157"/>
      <c r="U32" s="156"/>
      <c r="V32" s="154"/>
      <c r="W32" s="154"/>
      <c r="X32" s="157"/>
      <c r="Y32" s="156"/>
      <c r="Z32" s="154"/>
      <c r="AA32" s="154"/>
      <c r="AB32" s="157"/>
      <c r="AC32" s="158"/>
      <c r="AD32" s="159" t="str">
        <f t="shared" ref="AD32:CE36" si="20">IF(AD$9=$M32,$P32,IF(AD$9=$Q32,$T32,IF(AD$9=$U32,$X32,IF(AD$9=$Y32,$AB32,IF(AD$9=$L32,"ПС",IF(AD$9=$I32,"КС",IF(AND(AD$9&lt;$I32,AD$9&gt;$L32),"--","")))))))</f>
        <v/>
      </c>
      <c r="AE32" s="159" t="str">
        <f t="shared" si="20"/>
        <v/>
      </c>
      <c r="AF32" s="159" t="str">
        <f t="shared" si="20"/>
        <v/>
      </c>
      <c r="AG32" s="159" t="str">
        <f t="shared" si="20"/>
        <v/>
      </c>
      <c r="AH32" s="159" t="str">
        <f t="shared" si="20"/>
        <v/>
      </c>
      <c r="AI32" s="159" t="str">
        <f t="shared" si="20"/>
        <v/>
      </c>
      <c r="AJ32" s="159" t="str">
        <f t="shared" si="20"/>
        <v/>
      </c>
      <c r="AK32" s="159" t="str">
        <f t="shared" si="20"/>
        <v/>
      </c>
      <c r="AL32" s="159" t="str">
        <f t="shared" si="20"/>
        <v/>
      </c>
      <c r="AM32" s="159" t="str">
        <f t="shared" si="20"/>
        <v/>
      </c>
      <c r="AN32" s="159" t="str">
        <f t="shared" si="20"/>
        <v/>
      </c>
      <c r="AO32" s="159" t="str">
        <f t="shared" si="20"/>
        <v/>
      </c>
      <c r="AP32" s="159" t="str">
        <f t="shared" si="20"/>
        <v/>
      </c>
      <c r="AQ32" s="159" t="str">
        <f t="shared" si="20"/>
        <v/>
      </c>
      <c r="AR32" s="159" t="str">
        <f t="shared" si="20"/>
        <v/>
      </c>
      <c r="AS32" s="159" t="str">
        <f t="shared" si="20"/>
        <v/>
      </c>
      <c r="AT32" s="159" t="str">
        <f t="shared" si="20"/>
        <v/>
      </c>
      <c r="AU32" s="159" t="str">
        <f t="shared" si="20"/>
        <v/>
      </c>
      <c r="AV32" s="159" t="str">
        <f t="shared" si="20"/>
        <v/>
      </c>
      <c r="AW32" s="159" t="str">
        <f t="shared" si="20"/>
        <v/>
      </c>
      <c r="AX32" s="159" t="str">
        <f t="shared" si="20"/>
        <v/>
      </c>
      <c r="AY32" s="159" t="str">
        <f t="shared" si="20"/>
        <v/>
      </c>
      <c r="AZ32" s="159" t="str">
        <f t="shared" si="20"/>
        <v/>
      </c>
      <c r="BA32" s="159" t="str">
        <f t="shared" si="20"/>
        <v/>
      </c>
      <c r="BB32" s="159" t="str">
        <f t="shared" si="20"/>
        <v/>
      </c>
      <c r="BC32" s="159" t="str">
        <f t="shared" si="20"/>
        <v/>
      </c>
      <c r="BD32" s="159" t="str">
        <f t="shared" si="20"/>
        <v/>
      </c>
      <c r="BE32" s="159" t="str">
        <f t="shared" si="20"/>
        <v/>
      </c>
      <c r="BF32" s="159" t="str">
        <f t="shared" si="20"/>
        <v/>
      </c>
      <c r="BG32" s="159" t="str">
        <f t="shared" si="20"/>
        <v/>
      </c>
      <c r="BH32" s="159" t="str">
        <f t="shared" si="20"/>
        <v/>
      </c>
      <c r="BI32" s="159" t="str">
        <f t="shared" si="20"/>
        <v/>
      </c>
      <c r="BJ32" s="159" t="str">
        <f t="shared" si="20"/>
        <v/>
      </c>
      <c r="BK32" s="159" t="str">
        <f t="shared" si="20"/>
        <v/>
      </c>
      <c r="BL32" s="159" t="str">
        <f t="shared" si="20"/>
        <v/>
      </c>
      <c r="BM32" s="159" t="str">
        <f t="shared" si="20"/>
        <v/>
      </c>
      <c r="BN32" s="159" t="str">
        <f t="shared" si="20"/>
        <v/>
      </c>
      <c r="BO32" s="159" t="str">
        <f t="shared" si="20"/>
        <v/>
      </c>
      <c r="BP32" s="159" t="str">
        <f t="shared" si="20"/>
        <v/>
      </c>
      <c r="BQ32" s="159" t="str">
        <f t="shared" si="20"/>
        <v/>
      </c>
      <c r="BR32" s="159" t="str">
        <f t="shared" si="20"/>
        <v/>
      </c>
      <c r="BS32" s="159" t="str">
        <f t="shared" si="20"/>
        <v/>
      </c>
      <c r="BT32" s="159" t="str">
        <f t="shared" si="20"/>
        <v/>
      </c>
      <c r="BU32" s="159" t="str">
        <f t="shared" si="20"/>
        <v/>
      </c>
      <c r="BV32" s="159" t="str">
        <f t="shared" si="20"/>
        <v/>
      </c>
      <c r="BW32" s="159" t="str">
        <f t="shared" si="20"/>
        <v/>
      </c>
      <c r="BX32" s="159" t="str">
        <f t="shared" si="20"/>
        <v/>
      </c>
      <c r="BY32" s="159" t="str">
        <f t="shared" si="20"/>
        <v/>
      </c>
      <c r="BZ32" s="159" t="str">
        <f t="shared" si="20"/>
        <v/>
      </c>
      <c r="CA32" s="159" t="str">
        <f t="shared" si="20"/>
        <v/>
      </c>
      <c r="CB32" s="159" t="str">
        <f t="shared" si="20"/>
        <v/>
      </c>
      <c r="CC32" s="159" t="str">
        <f t="shared" si="20"/>
        <v/>
      </c>
      <c r="CD32" s="159" t="str">
        <f t="shared" si="20"/>
        <v/>
      </c>
      <c r="CE32" s="159" t="str">
        <f t="shared" si="20"/>
        <v/>
      </c>
      <c r="CF32" s="160">
        <f t="shared" ref="CF32:CF38" si="21">SUM(AB32+X32+T32+P32)</f>
        <v>0</v>
      </c>
      <c r="CG32" s="161">
        <f t="shared" ref="CG32:CG38" si="22">CF32/E32</f>
        <v>0</v>
      </c>
    </row>
    <row r="33" spans="1:85" ht="12" customHeight="1" x14ac:dyDescent="0.2">
      <c r="A33" s="154">
        <v>2</v>
      </c>
      <c r="B33" s="155"/>
      <c r="C33" s="155" t="s">
        <v>358</v>
      </c>
      <c r="D33" s="155" t="s">
        <v>375</v>
      </c>
      <c r="E33" s="181">
        <v>4</v>
      </c>
      <c r="F33" s="315"/>
      <c r="G33" s="183">
        <f t="shared" si="19"/>
        <v>1856</v>
      </c>
      <c r="H33" s="155"/>
      <c r="I33" s="221"/>
      <c r="J33" s="155"/>
      <c r="K33" s="155"/>
      <c r="L33" s="155"/>
      <c r="M33" s="156"/>
      <c r="N33" s="154"/>
      <c r="O33" s="154"/>
      <c r="P33" s="157"/>
      <c r="Q33" s="156"/>
      <c r="R33" s="154"/>
      <c r="S33" s="154"/>
      <c r="T33" s="157"/>
      <c r="U33" s="156"/>
      <c r="V33" s="154"/>
      <c r="W33" s="154"/>
      <c r="X33" s="157"/>
      <c r="Y33" s="156"/>
      <c r="Z33" s="154"/>
      <c r="AA33" s="154"/>
      <c r="AB33" s="157"/>
      <c r="AC33" s="158"/>
      <c r="AD33" s="159" t="str">
        <f t="shared" si="20"/>
        <v/>
      </c>
      <c r="AE33" s="159" t="str">
        <f t="shared" si="20"/>
        <v/>
      </c>
      <c r="AF33" s="159" t="str">
        <f t="shared" si="20"/>
        <v/>
      </c>
      <c r="AG33" s="159" t="str">
        <f t="shared" si="20"/>
        <v/>
      </c>
      <c r="AH33" s="159" t="str">
        <f t="shared" si="20"/>
        <v/>
      </c>
      <c r="AI33" s="159" t="str">
        <f t="shared" si="20"/>
        <v/>
      </c>
      <c r="AJ33" s="159" t="str">
        <f t="shared" si="20"/>
        <v/>
      </c>
      <c r="AK33" s="159" t="str">
        <f t="shared" si="20"/>
        <v/>
      </c>
      <c r="AL33" s="159" t="str">
        <f t="shared" si="20"/>
        <v/>
      </c>
      <c r="AM33" s="159" t="str">
        <f t="shared" si="20"/>
        <v/>
      </c>
      <c r="AN33" s="159" t="str">
        <f t="shared" si="20"/>
        <v/>
      </c>
      <c r="AO33" s="159" t="str">
        <f t="shared" si="20"/>
        <v/>
      </c>
      <c r="AP33" s="159" t="str">
        <f t="shared" si="20"/>
        <v/>
      </c>
      <c r="AQ33" s="159" t="str">
        <f t="shared" si="20"/>
        <v/>
      </c>
      <c r="AR33" s="159" t="str">
        <f t="shared" si="20"/>
        <v/>
      </c>
      <c r="AS33" s="159" t="str">
        <f t="shared" si="20"/>
        <v/>
      </c>
      <c r="AT33" s="159" t="str">
        <f t="shared" si="20"/>
        <v/>
      </c>
      <c r="AU33" s="159" t="str">
        <f t="shared" si="20"/>
        <v/>
      </c>
      <c r="AV33" s="159" t="str">
        <f t="shared" si="20"/>
        <v/>
      </c>
      <c r="AW33" s="159" t="str">
        <f t="shared" si="20"/>
        <v/>
      </c>
      <c r="AX33" s="159" t="str">
        <f t="shared" si="20"/>
        <v/>
      </c>
      <c r="AY33" s="159" t="str">
        <f t="shared" si="20"/>
        <v/>
      </c>
      <c r="AZ33" s="159" t="str">
        <f t="shared" si="20"/>
        <v/>
      </c>
      <c r="BA33" s="159" t="str">
        <f t="shared" si="20"/>
        <v/>
      </c>
      <c r="BB33" s="159" t="str">
        <f t="shared" si="20"/>
        <v/>
      </c>
      <c r="BC33" s="159" t="str">
        <f t="shared" si="20"/>
        <v/>
      </c>
      <c r="BD33" s="159" t="str">
        <f t="shared" si="20"/>
        <v/>
      </c>
      <c r="BE33" s="159" t="str">
        <f t="shared" si="20"/>
        <v/>
      </c>
      <c r="BF33" s="159" t="str">
        <f t="shared" si="20"/>
        <v/>
      </c>
      <c r="BG33" s="159" t="str">
        <f t="shared" si="20"/>
        <v/>
      </c>
      <c r="BH33" s="159" t="str">
        <f t="shared" si="20"/>
        <v/>
      </c>
      <c r="BI33" s="159" t="str">
        <f t="shared" si="20"/>
        <v/>
      </c>
      <c r="BJ33" s="159" t="str">
        <f t="shared" si="20"/>
        <v/>
      </c>
      <c r="BK33" s="159" t="str">
        <f t="shared" si="20"/>
        <v/>
      </c>
      <c r="BL33" s="159" t="str">
        <f t="shared" si="20"/>
        <v/>
      </c>
      <c r="BM33" s="159" t="str">
        <f t="shared" si="20"/>
        <v/>
      </c>
      <c r="BN33" s="159" t="str">
        <f t="shared" si="20"/>
        <v/>
      </c>
      <c r="BO33" s="159" t="str">
        <f t="shared" si="20"/>
        <v/>
      </c>
      <c r="BP33" s="159" t="str">
        <f t="shared" si="20"/>
        <v/>
      </c>
      <c r="BQ33" s="159" t="str">
        <f t="shared" si="20"/>
        <v/>
      </c>
      <c r="BR33" s="159" t="str">
        <f t="shared" si="20"/>
        <v/>
      </c>
      <c r="BS33" s="159" t="str">
        <f t="shared" si="20"/>
        <v/>
      </c>
      <c r="BT33" s="159" t="str">
        <f t="shared" si="20"/>
        <v/>
      </c>
      <c r="BU33" s="159" t="str">
        <f t="shared" si="20"/>
        <v/>
      </c>
      <c r="BV33" s="159" t="str">
        <f t="shared" si="20"/>
        <v/>
      </c>
      <c r="BW33" s="159" t="str">
        <f t="shared" si="20"/>
        <v/>
      </c>
      <c r="BX33" s="159" t="str">
        <f t="shared" si="20"/>
        <v/>
      </c>
      <c r="BY33" s="159" t="str">
        <f t="shared" si="20"/>
        <v/>
      </c>
      <c r="BZ33" s="159" t="str">
        <f t="shared" si="20"/>
        <v/>
      </c>
      <c r="CA33" s="159" t="str">
        <f t="shared" si="20"/>
        <v/>
      </c>
      <c r="CB33" s="159" t="str">
        <f t="shared" si="20"/>
        <v/>
      </c>
      <c r="CC33" s="159" t="str">
        <f t="shared" si="20"/>
        <v/>
      </c>
      <c r="CD33" s="159" t="str">
        <f t="shared" si="20"/>
        <v/>
      </c>
      <c r="CE33" s="159" t="str">
        <f t="shared" si="20"/>
        <v/>
      </c>
      <c r="CF33" s="160">
        <f t="shared" si="21"/>
        <v>0</v>
      </c>
      <c r="CG33" s="161">
        <f t="shared" si="22"/>
        <v>0</v>
      </c>
    </row>
    <row r="34" spans="1:85" ht="12" customHeight="1" x14ac:dyDescent="0.2">
      <c r="A34" s="154">
        <v>3</v>
      </c>
      <c r="B34" s="155"/>
      <c r="C34" s="155" t="s">
        <v>353</v>
      </c>
      <c r="D34" s="155" t="s">
        <v>375</v>
      </c>
      <c r="E34" s="181">
        <v>4</v>
      </c>
      <c r="F34" s="315"/>
      <c r="G34" s="183">
        <f t="shared" si="19"/>
        <v>1856</v>
      </c>
      <c r="H34" s="155"/>
      <c r="I34" s="221"/>
      <c r="J34" s="155"/>
      <c r="K34" s="155"/>
      <c r="L34" s="155"/>
      <c r="M34" s="156"/>
      <c r="N34" s="154"/>
      <c r="O34" s="154"/>
      <c r="P34" s="157"/>
      <c r="Q34" s="156"/>
      <c r="R34" s="154"/>
      <c r="S34" s="154"/>
      <c r="T34" s="157"/>
      <c r="U34" s="156"/>
      <c r="V34" s="154"/>
      <c r="W34" s="154"/>
      <c r="X34" s="157"/>
      <c r="Y34" s="156"/>
      <c r="Z34" s="154"/>
      <c r="AA34" s="154"/>
      <c r="AB34" s="157"/>
      <c r="AC34" s="158"/>
      <c r="AD34" s="159" t="str">
        <f t="shared" si="20"/>
        <v/>
      </c>
      <c r="AE34" s="159" t="str">
        <f t="shared" si="20"/>
        <v/>
      </c>
      <c r="AF34" s="159" t="str">
        <f t="shared" si="20"/>
        <v/>
      </c>
      <c r="AG34" s="159" t="str">
        <f t="shared" si="20"/>
        <v/>
      </c>
      <c r="AH34" s="159" t="str">
        <f t="shared" si="20"/>
        <v/>
      </c>
      <c r="AI34" s="159" t="str">
        <f t="shared" si="20"/>
        <v/>
      </c>
      <c r="AJ34" s="159" t="str">
        <f t="shared" si="20"/>
        <v/>
      </c>
      <c r="AK34" s="159" t="str">
        <f t="shared" si="20"/>
        <v/>
      </c>
      <c r="AL34" s="159" t="str">
        <f t="shared" si="20"/>
        <v/>
      </c>
      <c r="AM34" s="159" t="str">
        <f t="shared" si="20"/>
        <v/>
      </c>
      <c r="AN34" s="159" t="str">
        <f t="shared" si="20"/>
        <v/>
      </c>
      <c r="AO34" s="159" t="str">
        <f t="shared" si="20"/>
        <v/>
      </c>
      <c r="AP34" s="159" t="str">
        <f t="shared" si="20"/>
        <v/>
      </c>
      <c r="AQ34" s="159" t="str">
        <f t="shared" si="20"/>
        <v/>
      </c>
      <c r="AR34" s="159" t="str">
        <f t="shared" si="20"/>
        <v/>
      </c>
      <c r="AS34" s="159" t="str">
        <f t="shared" si="20"/>
        <v/>
      </c>
      <c r="AT34" s="159" t="str">
        <f t="shared" si="20"/>
        <v/>
      </c>
      <c r="AU34" s="159" t="str">
        <f t="shared" si="20"/>
        <v/>
      </c>
      <c r="AV34" s="159" t="str">
        <f t="shared" si="20"/>
        <v/>
      </c>
      <c r="AW34" s="159" t="str">
        <f t="shared" si="20"/>
        <v/>
      </c>
      <c r="AX34" s="159" t="str">
        <f t="shared" si="20"/>
        <v/>
      </c>
      <c r="AY34" s="159" t="str">
        <f t="shared" si="20"/>
        <v/>
      </c>
      <c r="AZ34" s="159" t="str">
        <f t="shared" si="20"/>
        <v/>
      </c>
      <c r="BA34" s="159" t="str">
        <f t="shared" si="20"/>
        <v/>
      </c>
      <c r="BB34" s="159" t="str">
        <f t="shared" si="20"/>
        <v/>
      </c>
      <c r="BC34" s="159" t="str">
        <f t="shared" si="20"/>
        <v/>
      </c>
      <c r="BD34" s="159" t="str">
        <f t="shared" si="20"/>
        <v/>
      </c>
      <c r="BE34" s="159" t="str">
        <f t="shared" si="20"/>
        <v/>
      </c>
      <c r="BF34" s="159" t="str">
        <f t="shared" si="20"/>
        <v/>
      </c>
      <c r="BG34" s="159" t="str">
        <f t="shared" si="20"/>
        <v/>
      </c>
      <c r="BH34" s="159" t="str">
        <f t="shared" si="20"/>
        <v/>
      </c>
      <c r="BI34" s="159" t="str">
        <f t="shared" si="20"/>
        <v/>
      </c>
      <c r="BJ34" s="159" t="str">
        <f t="shared" si="20"/>
        <v/>
      </c>
      <c r="BK34" s="159" t="str">
        <f t="shared" si="20"/>
        <v/>
      </c>
      <c r="BL34" s="159" t="str">
        <f t="shared" si="20"/>
        <v/>
      </c>
      <c r="BM34" s="159" t="str">
        <f t="shared" si="20"/>
        <v/>
      </c>
      <c r="BN34" s="159" t="str">
        <f t="shared" si="20"/>
        <v/>
      </c>
      <c r="BO34" s="159" t="str">
        <f t="shared" si="20"/>
        <v/>
      </c>
      <c r="BP34" s="159" t="str">
        <f t="shared" si="20"/>
        <v/>
      </c>
      <c r="BQ34" s="159" t="str">
        <f t="shared" si="20"/>
        <v/>
      </c>
      <c r="BR34" s="159" t="str">
        <f t="shared" si="20"/>
        <v/>
      </c>
      <c r="BS34" s="159" t="str">
        <f t="shared" si="20"/>
        <v/>
      </c>
      <c r="BT34" s="159" t="str">
        <f t="shared" si="20"/>
        <v/>
      </c>
      <c r="BU34" s="159" t="str">
        <f t="shared" si="20"/>
        <v/>
      </c>
      <c r="BV34" s="159" t="str">
        <f t="shared" si="20"/>
        <v/>
      </c>
      <c r="BW34" s="159" t="str">
        <f t="shared" si="20"/>
        <v/>
      </c>
      <c r="BX34" s="159" t="str">
        <f t="shared" si="20"/>
        <v/>
      </c>
      <c r="BY34" s="159" t="str">
        <f t="shared" si="20"/>
        <v/>
      </c>
      <c r="BZ34" s="159" t="str">
        <f t="shared" si="20"/>
        <v/>
      </c>
      <c r="CA34" s="159" t="str">
        <f t="shared" si="20"/>
        <v/>
      </c>
      <c r="CB34" s="159" t="str">
        <f t="shared" si="20"/>
        <v/>
      </c>
      <c r="CC34" s="159" t="str">
        <f t="shared" si="20"/>
        <v/>
      </c>
      <c r="CD34" s="159" t="str">
        <f t="shared" si="20"/>
        <v/>
      </c>
      <c r="CE34" s="159" t="str">
        <f t="shared" si="20"/>
        <v/>
      </c>
      <c r="CF34" s="160">
        <f t="shared" si="21"/>
        <v>0</v>
      </c>
      <c r="CG34" s="161">
        <f t="shared" si="22"/>
        <v>0</v>
      </c>
    </row>
    <row r="35" spans="1:85" ht="12" customHeight="1" x14ac:dyDescent="0.2">
      <c r="A35" s="154">
        <v>4</v>
      </c>
      <c r="B35" s="155"/>
      <c r="C35" s="155" t="s">
        <v>359</v>
      </c>
      <c r="D35" s="155" t="s">
        <v>375</v>
      </c>
      <c r="E35" s="181">
        <v>8</v>
      </c>
      <c r="F35" s="315"/>
      <c r="G35" s="183">
        <f t="shared" si="19"/>
        <v>3712</v>
      </c>
      <c r="H35" s="155"/>
      <c r="I35" s="221"/>
      <c r="J35" s="155"/>
      <c r="K35" s="155"/>
      <c r="L35" s="155"/>
      <c r="M35" s="156"/>
      <c r="N35" s="154"/>
      <c r="O35" s="154"/>
      <c r="P35" s="157"/>
      <c r="Q35" s="156"/>
      <c r="R35" s="154"/>
      <c r="S35" s="154"/>
      <c r="T35" s="157"/>
      <c r="U35" s="156"/>
      <c r="V35" s="154"/>
      <c r="W35" s="154"/>
      <c r="X35" s="157"/>
      <c r="Y35" s="156"/>
      <c r="Z35" s="154"/>
      <c r="AA35" s="154"/>
      <c r="AB35" s="157"/>
      <c r="AC35" s="158"/>
      <c r="AD35" s="159" t="str">
        <f t="shared" si="20"/>
        <v/>
      </c>
      <c r="AE35" s="159" t="str">
        <f t="shared" si="20"/>
        <v/>
      </c>
      <c r="AF35" s="159" t="str">
        <f t="shared" si="20"/>
        <v/>
      </c>
      <c r="AG35" s="159" t="str">
        <f t="shared" si="20"/>
        <v/>
      </c>
      <c r="AH35" s="159" t="str">
        <f t="shared" si="20"/>
        <v/>
      </c>
      <c r="AI35" s="159" t="str">
        <f t="shared" si="20"/>
        <v/>
      </c>
      <c r="AJ35" s="159" t="str">
        <f t="shared" si="20"/>
        <v/>
      </c>
      <c r="AK35" s="159" t="str">
        <f t="shared" si="20"/>
        <v/>
      </c>
      <c r="AL35" s="159" t="str">
        <f t="shared" si="20"/>
        <v/>
      </c>
      <c r="AM35" s="159" t="str">
        <f t="shared" si="20"/>
        <v/>
      </c>
      <c r="AN35" s="159" t="str">
        <f t="shared" si="20"/>
        <v/>
      </c>
      <c r="AO35" s="159" t="str">
        <f t="shared" si="20"/>
        <v/>
      </c>
      <c r="AP35" s="159" t="str">
        <f t="shared" si="20"/>
        <v/>
      </c>
      <c r="AQ35" s="159" t="str">
        <f t="shared" si="20"/>
        <v/>
      </c>
      <c r="AR35" s="159" t="str">
        <f t="shared" si="20"/>
        <v/>
      </c>
      <c r="AS35" s="159" t="str">
        <f t="shared" si="20"/>
        <v/>
      </c>
      <c r="AT35" s="159" t="str">
        <f t="shared" si="20"/>
        <v/>
      </c>
      <c r="AU35" s="159" t="str">
        <f t="shared" si="20"/>
        <v/>
      </c>
      <c r="AV35" s="159" t="str">
        <f t="shared" si="20"/>
        <v/>
      </c>
      <c r="AW35" s="159" t="str">
        <f t="shared" si="20"/>
        <v/>
      </c>
      <c r="AX35" s="159" t="str">
        <f t="shared" si="20"/>
        <v/>
      </c>
      <c r="AY35" s="159" t="str">
        <f t="shared" si="20"/>
        <v/>
      </c>
      <c r="AZ35" s="159" t="str">
        <f t="shared" si="20"/>
        <v/>
      </c>
      <c r="BA35" s="159" t="str">
        <f t="shared" si="20"/>
        <v/>
      </c>
      <c r="BB35" s="159" t="str">
        <f t="shared" si="20"/>
        <v/>
      </c>
      <c r="BC35" s="159" t="str">
        <f t="shared" si="20"/>
        <v/>
      </c>
      <c r="BD35" s="159" t="str">
        <f t="shared" si="20"/>
        <v/>
      </c>
      <c r="BE35" s="159" t="str">
        <f t="shared" si="20"/>
        <v/>
      </c>
      <c r="BF35" s="159" t="str">
        <f t="shared" si="20"/>
        <v/>
      </c>
      <c r="BG35" s="159" t="str">
        <f t="shared" si="20"/>
        <v/>
      </c>
      <c r="BH35" s="159" t="str">
        <f t="shared" si="20"/>
        <v/>
      </c>
      <c r="BI35" s="159" t="str">
        <f t="shared" si="20"/>
        <v/>
      </c>
      <c r="BJ35" s="159" t="str">
        <f t="shared" si="20"/>
        <v/>
      </c>
      <c r="BK35" s="159" t="str">
        <f t="shared" si="20"/>
        <v/>
      </c>
      <c r="BL35" s="159" t="str">
        <f t="shared" si="20"/>
        <v/>
      </c>
      <c r="BM35" s="159" t="str">
        <f t="shared" si="20"/>
        <v/>
      </c>
      <c r="BN35" s="159" t="str">
        <f t="shared" si="20"/>
        <v/>
      </c>
      <c r="BO35" s="159" t="str">
        <f t="shared" si="20"/>
        <v/>
      </c>
      <c r="BP35" s="159" t="str">
        <f t="shared" si="20"/>
        <v/>
      </c>
      <c r="BQ35" s="159" t="str">
        <f t="shared" si="20"/>
        <v/>
      </c>
      <c r="BR35" s="159" t="str">
        <f t="shared" si="20"/>
        <v/>
      </c>
      <c r="BS35" s="159" t="str">
        <f t="shared" si="20"/>
        <v/>
      </c>
      <c r="BT35" s="159" t="str">
        <f t="shared" si="20"/>
        <v/>
      </c>
      <c r="BU35" s="159" t="str">
        <f t="shared" si="20"/>
        <v/>
      </c>
      <c r="BV35" s="159" t="str">
        <f t="shared" si="20"/>
        <v/>
      </c>
      <c r="BW35" s="159" t="str">
        <f t="shared" si="20"/>
        <v/>
      </c>
      <c r="BX35" s="159" t="str">
        <f t="shared" si="20"/>
        <v/>
      </c>
      <c r="BY35" s="159" t="str">
        <f t="shared" si="20"/>
        <v/>
      </c>
      <c r="BZ35" s="159" t="str">
        <f t="shared" si="20"/>
        <v/>
      </c>
      <c r="CA35" s="159" t="str">
        <f t="shared" si="20"/>
        <v/>
      </c>
      <c r="CB35" s="159" t="str">
        <f t="shared" si="20"/>
        <v/>
      </c>
      <c r="CC35" s="159" t="str">
        <f t="shared" si="20"/>
        <v/>
      </c>
      <c r="CD35" s="159" t="str">
        <f t="shared" si="20"/>
        <v/>
      </c>
      <c r="CE35" s="159" t="str">
        <f t="shared" si="20"/>
        <v/>
      </c>
      <c r="CF35" s="160">
        <f t="shared" si="21"/>
        <v>0</v>
      </c>
      <c r="CG35" s="161">
        <f t="shared" si="22"/>
        <v>0</v>
      </c>
    </row>
    <row r="36" spans="1:85" ht="12" customHeight="1" x14ac:dyDescent="0.2">
      <c r="A36" s="154">
        <v>5</v>
      </c>
      <c r="B36" s="155"/>
      <c r="C36" s="155" t="s">
        <v>355</v>
      </c>
      <c r="D36" s="155" t="s">
        <v>375</v>
      </c>
      <c r="E36" s="181">
        <v>4</v>
      </c>
      <c r="F36" s="315"/>
      <c r="G36" s="183">
        <f t="shared" si="19"/>
        <v>1856</v>
      </c>
      <c r="H36" s="155"/>
      <c r="I36" s="221"/>
      <c r="J36" s="155"/>
      <c r="K36" s="155"/>
      <c r="L36" s="155"/>
      <c r="M36" s="156"/>
      <c r="N36" s="154"/>
      <c r="O36" s="154"/>
      <c r="P36" s="157"/>
      <c r="Q36" s="156"/>
      <c r="R36" s="154"/>
      <c r="S36" s="154"/>
      <c r="T36" s="157"/>
      <c r="U36" s="156"/>
      <c r="V36" s="154"/>
      <c r="W36" s="154"/>
      <c r="X36" s="157"/>
      <c r="Y36" s="156"/>
      <c r="Z36" s="154"/>
      <c r="AA36" s="154"/>
      <c r="AB36" s="157"/>
      <c r="AC36" s="158"/>
      <c r="AD36" s="159" t="str">
        <f t="shared" si="20"/>
        <v/>
      </c>
      <c r="AE36" s="159" t="str">
        <f t="shared" si="20"/>
        <v/>
      </c>
      <c r="AF36" s="159" t="str">
        <f t="shared" si="20"/>
        <v/>
      </c>
      <c r="AG36" s="159" t="str">
        <f t="shared" si="20"/>
        <v/>
      </c>
      <c r="AH36" s="159" t="str">
        <f t="shared" si="20"/>
        <v/>
      </c>
      <c r="AI36" s="159" t="str">
        <f t="shared" si="20"/>
        <v/>
      </c>
      <c r="AJ36" s="159" t="str">
        <f t="shared" si="20"/>
        <v/>
      </c>
      <c r="AK36" s="159" t="str">
        <f t="shared" si="20"/>
        <v/>
      </c>
      <c r="AL36" s="159" t="str">
        <f t="shared" si="20"/>
        <v/>
      </c>
      <c r="AM36" s="159" t="str">
        <f t="shared" si="20"/>
        <v/>
      </c>
      <c r="AN36" s="159" t="str">
        <f t="shared" si="20"/>
        <v/>
      </c>
      <c r="AO36" s="159" t="str">
        <f t="shared" si="20"/>
        <v/>
      </c>
      <c r="AP36" s="159" t="str">
        <f t="shared" si="20"/>
        <v/>
      </c>
      <c r="AQ36" s="159" t="str">
        <f t="shared" si="20"/>
        <v/>
      </c>
      <c r="AR36" s="159" t="str">
        <f t="shared" si="20"/>
        <v/>
      </c>
      <c r="AS36" s="159" t="str">
        <f t="shared" si="20"/>
        <v/>
      </c>
      <c r="AT36" s="159" t="str">
        <f t="shared" si="20"/>
        <v/>
      </c>
      <c r="AU36" s="159" t="str">
        <f t="shared" si="20"/>
        <v/>
      </c>
      <c r="AV36" s="159" t="str">
        <f t="shared" si="20"/>
        <v/>
      </c>
      <c r="AW36" s="159" t="str">
        <f t="shared" si="20"/>
        <v/>
      </c>
      <c r="AX36" s="159" t="str">
        <f t="shared" si="20"/>
        <v/>
      </c>
      <c r="AY36" s="159" t="str">
        <f t="shared" si="20"/>
        <v/>
      </c>
      <c r="AZ36" s="159" t="str">
        <f t="shared" si="20"/>
        <v/>
      </c>
      <c r="BA36" s="159" t="str">
        <f t="shared" si="20"/>
        <v/>
      </c>
      <c r="BB36" s="159" t="str">
        <f t="shared" si="20"/>
        <v/>
      </c>
      <c r="BC36" s="159" t="str">
        <f t="shared" si="20"/>
        <v/>
      </c>
      <c r="BD36" s="159" t="str">
        <f t="shared" si="20"/>
        <v/>
      </c>
      <c r="BE36" s="159" t="str">
        <f t="shared" si="20"/>
        <v/>
      </c>
      <c r="BF36" s="159" t="str">
        <f t="shared" si="20"/>
        <v/>
      </c>
      <c r="BG36" s="159" t="str">
        <f t="shared" si="20"/>
        <v/>
      </c>
      <c r="BH36" s="159" t="str">
        <f t="shared" si="20"/>
        <v/>
      </c>
      <c r="BI36" s="159" t="str">
        <f t="shared" si="20"/>
        <v/>
      </c>
      <c r="BJ36" s="159" t="str">
        <f t="shared" si="20"/>
        <v/>
      </c>
      <c r="BK36" s="159" t="str">
        <f t="shared" si="20"/>
        <v/>
      </c>
      <c r="BL36" s="159" t="str">
        <f t="shared" si="20"/>
        <v/>
      </c>
      <c r="BM36" s="159" t="str">
        <f t="shared" si="20"/>
        <v/>
      </c>
      <c r="BN36" s="159" t="str">
        <f t="shared" si="20"/>
        <v/>
      </c>
      <c r="BO36" s="159" t="str">
        <f t="shared" si="20"/>
        <v/>
      </c>
      <c r="BP36" s="159" t="str">
        <f t="shared" si="20"/>
        <v/>
      </c>
      <c r="BQ36" s="159" t="str">
        <f t="shared" ref="BQ36:CE36" si="23">IF(BQ$9=$M36,$P36,IF(BQ$9=$Q36,$T36,IF(BQ$9=$U36,$X36,IF(BQ$9=$Y36,$AB36,IF(BQ$9=$L36,"ПС",IF(BQ$9=$I36,"КС",IF(AND(BQ$9&lt;$I36,BQ$9&gt;$L36),"--","")))))))</f>
        <v/>
      </c>
      <c r="BR36" s="159" t="str">
        <f t="shared" si="23"/>
        <v/>
      </c>
      <c r="BS36" s="159" t="str">
        <f t="shared" si="23"/>
        <v/>
      </c>
      <c r="BT36" s="159" t="str">
        <f t="shared" si="23"/>
        <v/>
      </c>
      <c r="BU36" s="159" t="str">
        <f t="shared" si="23"/>
        <v/>
      </c>
      <c r="BV36" s="159" t="str">
        <f t="shared" si="23"/>
        <v/>
      </c>
      <c r="BW36" s="159" t="str">
        <f t="shared" si="23"/>
        <v/>
      </c>
      <c r="BX36" s="159" t="str">
        <f t="shared" si="23"/>
        <v/>
      </c>
      <c r="BY36" s="159" t="str">
        <f t="shared" si="23"/>
        <v/>
      </c>
      <c r="BZ36" s="159" t="str">
        <f t="shared" si="23"/>
        <v/>
      </c>
      <c r="CA36" s="159" t="str">
        <f t="shared" si="23"/>
        <v/>
      </c>
      <c r="CB36" s="159" t="str">
        <f t="shared" si="23"/>
        <v/>
      </c>
      <c r="CC36" s="159" t="str">
        <f t="shared" si="23"/>
        <v/>
      </c>
      <c r="CD36" s="159" t="str">
        <f t="shared" si="23"/>
        <v/>
      </c>
      <c r="CE36" s="159" t="str">
        <f t="shared" si="23"/>
        <v/>
      </c>
      <c r="CF36" s="160">
        <f t="shared" si="21"/>
        <v>0</v>
      </c>
      <c r="CG36" s="161">
        <f t="shared" si="22"/>
        <v>0</v>
      </c>
    </row>
    <row r="37" spans="1:85" ht="12" customHeight="1" x14ac:dyDescent="0.2">
      <c r="A37" s="154">
        <v>6</v>
      </c>
      <c r="B37" s="155"/>
      <c r="C37" s="155" t="s">
        <v>356</v>
      </c>
      <c r="D37" s="155" t="s">
        <v>375</v>
      </c>
      <c r="E37" s="181">
        <v>4</v>
      </c>
      <c r="F37" s="315"/>
      <c r="G37" s="183">
        <f t="shared" si="19"/>
        <v>1856</v>
      </c>
      <c r="H37" s="155"/>
      <c r="I37" s="221"/>
      <c r="J37" s="155"/>
      <c r="K37" s="155"/>
      <c r="L37" s="155"/>
      <c r="M37" s="156"/>
      <c r="N37" s="154"/>
      <c r="O37" s="154"/>
      <c r="P37" s="157"/>
      <c r="Q37" s="156"/>
      <c r="R37" s="154"/>
      <c r="S37" s="154"/>
      <c r="T37" s="157"/>
      <c r="U37" s="156"/>
      <c r="V37" s="154"/>
      <c r="W37" s="154"/>
      <c r="X37" s="157"/>
      <c r="Y37" s="156"/>
      <c r="Z37" s="154"/>
      <c r="AA37" s="154"/>
      <c r="AB37" s="157"/>
      <c r="AC37" s="158"/>
      <c r="AD37" s="159" t="str">
        <f t="shared" ref="AD37:CE38" si="24">IF(AD$9=$M37,$P37,IF(AD$9=$Q37,$T37,IF(AD$9=$U37,$X37,IF(AD$9=$Y37,$AB37,IF(AD$9=$L37,"ПС",IF(AD$9=$I37,"КС",IF(AND(AD$9&lt;$I37,AD$9&gt;$L37),"--","")))))))</f>
        <v/>
      </c>
      <c r="AE37" s="159" t="str">
        <f t="shared" si="24"/>
        <v/>
      </c>
      <c r="AF37" s="159" t="str">
        <f t="shared" si="24"/>
        <v/>
      </c>
      <c r="AG37" s="159" t="str">
        <f t="shared" si="24"/>
        <v/>
      </c>
      <c r="AH37" s="159" t="str">
        <f t="shared" si="24"/>
        <v/>
      </c>
      <c r="AI37" s="159" t="str">
        <f t="shared" si="24"/>
        <v/>
      </c>
      <c r="AJ37" s="159" t="str">
        <f t="shared" si="24"/>
        <v/>
      </c>
      <c r="AK37" s="159" t="str">
        <f t="shared" si="24"/>
        <v/>
      </c>
      <c r="AL37" s="159" t="str">
        <f t="shared" si="24"/>
        <v/>
      </c>
      <c r="AM37" s="159" t="str">
        <f t="shared" si="24"/>
        <v/>
      </c>
      <c r="AN37" s="159" t="str">
        <f t="shared" si="24"/>
        <v/>
      </c>
      <c r="AO37" s="159" t="str">
        <f t="shared" si="24"/>
        <v/>
      </c>
      <c r="AP37" s="159" t="str">
        <f t="shared" si="24"/>
        <v/>
      </c>
      <c r="AQ37" s="159" t="str">
        <f t="shared" si="24"/>
        <v/>
      </c>
      <c r="AR37" s="159" t="str">
        <f t="shared" si="24"/>
        <v/>
      </c>
      <c r="AS37" s="159" t="str">
        <f t="shared" si="24"/>
        <v/>
      </c>
      <c r="AT37" s="159" t="str">
        <f t="shared" si="24"/>
        <v/>
      </c>
      <c r="AU37" s="159" t="str">
        <f t="shared" si="24"/>
        <v/>
      </c>
      <c r="AV37" s="159" t="str">
        <f t="shared" si="24"/>
        <v/>
      </c>
      <c r="AW37" s="159" t="str">
        <f t="shared" si="24"/>
        <v/>
      </c>
      <c r="AX37" s="159" t="str">
        <f t="shared" si="24"/>
        <v/>
      </c>
      <c r="AY37" s="159" t="str">
        <f t="shared" si="24"/>
        <v/>
      </c>
      <c r="AZ37" s="159" t="str">
        <f t="shared" si="24"/>
        <v/>
      </c>
      <c r="BA37" s="159" t="str">
        <f t="shared" si="24"/>
        <v/>
      </c>
      <c r="BB37" s="159" t="str">
        <f t="shared" si="24"/>
        <v/>
      </c>
      <c r="BC37" s="159" t="str">
        <f t="shared" si="24"/>
        <v/>
      </c>
      <c r="BD37" s="159" t="str">
        <f t="shared" si="24"/>
        <v/>
      </c>
      <c r="BE37" s="159" t="str">
        <f t="shared" si="24"/>
        <v/>
      </c>
      <c r="BF37" s="159" t="str">
        <f t="shared" si="24"/>
        <v/>
      </c>
      <c r="BG37" s="159" t="str">
        <f t="shared" si="24"/>
        <v/>
      </c>
      <c r="BH37" s="159" t="str">
        <f t="shared" si="24"/>
        <v/>
      </c>
      <c r="BI37" s="159" t="str">
        <f t="shared" si="24"/>
        <v/>
      </c>
      <c r="BJ37" s="159" t="str">
        <f t="shared" si="24"/>
        <v/>
      </c>
      <c r="BK37" s="159" t="str">
        <f t="shared" si="24"/>
        <v/>
      </c>
      <c r="BL37" s="159" t="str">
        <f t="shared" si="24"/>
        <v/>
      </c>
      <c r="BM37" s="159" t="str">
        <f t="shared" si="24"/>
        <v/>
      </c>
      <c r="BN37" s="159" t="str">
        <f t="shared" si="24"/>
        <v/>
      </c>
      <c r="BO37" s="159" t="str">
        <f t="shared" si="24"/>
        <v/>
      </c>
      <c r="BP37" s="159" t="str">
        <f t="shared" si="24"/>
        <v/>
      </c>
      <c r="BQ37" s="159" t="str">
        <f t="shared" si="24"/>
        <v/>
      </c>
      <c r="BR37" s="159" t="str">
        <f t="shared" si="24"/>
        <v/>
      </c>
      <c r="BS37" s="159" t="str">
        <f t="shared" si="24"/>
        <v/>
      </c>
      <c r="BT37" s="159" t="str">
        <f t="shared" si="24"/>
        <v/>
      </c>
      <c r="BU37" s="159" t="str">
        <f t="shared" si="24"/>
        <v/>
      </c>
      <c r="BV37" s="159" t="str">
        <f t="shared" si="24"/>
        <v/>
      </c>
      <c r="BW37" s="159" t="str">
        <f t="shared" si="24"/>
        <v/>
      </c>
      <c r="BX37" s="159" t="str">
        <f t="shared" si="24"/>
        <v/>
      </c>
      <c r="BY37" s="159" t="str">
        <f t="shared" si="24"/>
        <v/>
      </c>
      <c r="BZ37" s="159" t="str">
        <f t="shared" si="24"/>
        <v/>
      </c>
      <c r="CA37" s="159" t="str">
        <f t="shared" si="24"/>
        <v/>
      </c>
      <c r="CB37" s="159" t="str">
        <f t="shared" si="24"/>
        <v/>
      </c>
      <c r="CC37" s="159" t="str">
        <f t="shared" si="24"/>
        <v/>
      </c>
      <c r="CD37" s="159" t="str">
        <f t="shared" si="24"/>
        <v/>
      </c>
      <c r="CE37" s="159" t="str">
        <f t="shared" si="24"/>
        <v/>
      </c>
      <c r="CF37" s="160">
        <f t="shared" si="21"/>
        <v>0</v>
      </c>
      <c r="CG37" s="161">
        <f t="shared" si="22"/>
        <v>0</v>
      </c>
    </row>
    <row r="38" spans="1:85" ht="12" customHeight="1" x14ac:dyDescent="0.2">
      <c r="A38" s="154">
        <v>7</v>
      </c>
      <c r="B38" s="155"/>
      <c r="C38" s="155" t="s">
        <v>361</v>
      </c>
      <c r="D38" s="155" t="s">
        <v>375</v>
      </c>
      <c r="E38" s="181">
        <v>4</v>
      </c>
      <c r="F38" s="315"/>
      <c r="G38" s="183">
        <f t="shared" si="19"/>
        <v>1856</v>
      </c>
      <c r="H38" s="155"/>
      <c r="I38" s="221"/>
      <c r="J38" s="155"/>
      <c r="K38" s="155"/>
      <c r="L38" s="155"/>
      <c r="M38" s="156"/>
      <c r="N38" s="154"/>
      <c r="O38" s="154"/>
      <c r="P38" s="157"/>
      <c r="Q38" s="156"/>
      <c r="R38" s="154"/>
      <c r="S38" s="154"/>
      <c r="T38" s="157"/>
      <c r="U38" s="156"/>
      <c r="V38" s="154"/>
      <c r="W38" s="154"/>
      <c r="X38" s="157"/>
      <c r="Y38" s="156"/>
      <c r="Z38" s="154"/>
      <c r="AA38" s="154"/>
      <c r="AB38" s="157"/>
      <c r="AC38" s="158"/>
      <c r="AD38" s="159" t="str">
        <f t="shared" si="24"/>
        <v/>
      </c>
      <c r="AE38" s="159" t="str">
        <f t="shared" si="24"/>
        <v/>
      </c>
      <c r="AF38" s="159" t="str">
        <f t="shared" si="24"/>
        <v/>
      </c>
      <c r="AG38" s="159" t="str">
        <f t="shared" si="24"/>
        <v/>
      </c>
      <c r="AH38" s="159" t="str">
        <f t="shared" si="24"/>
        <v/>
      </c>
      <c r="AI38" s="159" t="str">
        <f t="shared" si="24"/>
        <v/>
      </c>
      <c r="AJ38" s="159" t="str">
        <f t="shared" si="24"/>
        <v/>
      </c>
      <c r="AK38" s="159" t="str">
        <f t="shared" si="24"/>
        <v/>
      </c>
      <c r="AL38" s="159" t="str">
        <f t="shared" si="24"/>
        <v/>
      </c>
      <c r="AM38" s="159" t="str">
        <f t="shared" si="24"/>
        <v/>
      </c>
      <c r="AN38" s="159" t="str">
        <f t="shared" si="24"/>
        <v/>
      </c>
      <c r="AO38" s="159" t="str">
        <f t="shared" si="24"/>
        <v/>
      </c>
      <c r="AP38" s="159" t="str">
        <f t="shared" si="24"/>
        <v/>
      </c>
      <c r="AQ38" s="159" t="str">
        <f t="shared" si="24"/>
        <v/>
      </c>
      <c r="AR38" s="159" t="str">
        <f t="shared" si="24"/>
        <v/>
      </c>
      <c r="AS38" s="159" t="str">
        <f t="shared" si="24"/>
        <v/>
      </c>
      <c r="AT38" s="159" t="str">
        <f t="shared" si="24"/>
        <v/>
      </c>
      <c r="AU38" s="159" t="str">
        <f t="shared" si="24"/>
        <v/>
      </c>
      <c r="AV38" s="159" t="str">
        <f t="shared" si="24"/>
        <v/>
      </c>
      <c r="AW38" s="159" t="str">
        <f t="shared" si="24"/>
        <v/>
      </c>
      <c r="AX38" s="159" t="str">
        <f t="shared" si="24"/>
        <v/>
      </c>
      <c r="AY38" s="159" t="str">
        <f t="shared" si="24"/>
        <v/>
      </c>
      <c r="AZ38" s="159" t="str">
        <f t="shared" si="24"/>
        <v/>
      </c>
      <c r="BA38" s="159" t="str">
        <f t="shared" si="24"/>
        <v/>
      </c>
      <c r="BB38" s="159" t="str">
        <f t="shared" si="24"/>
        <v/>
      </c>
      <c r="BC38" s="159" t="str">
        <f t="shared" si="24"/>
        <v/>
      </c>
      <c r="BD38" s="159" t="str">
        <f t="shared" si="24"/>
        <v/>
      </c>
      <c r="BE38" s="159" t="str">
        <f t="shared" si="24"/>
        <v/>
      </c>
      <c r="BF38" s="159" t="str">
        <f t="shared" si="24"/>
        <v/>
      </c>
      <c r="BG38" s="159" t="str">
        <f t="shared" si="24"/>
        <v/>
      </c>
      <c r="BH38" s="159" t="str">
        <f t="shared" si="24"/>
        <v/>
      </c>
      <c r="BI38" s="159" t="str">
        <f t="shared" si="24"/>
        <v/>
      </c>
      <c r="BJ38" s="159" t="str">
        <f t="shared" si="24"/>
        <v/>
      </c>
      <c r="BK38" s="159" t="str">
        <f t="shared" si="24"/>
        <v/>
      </c>
      <c r="BL38" s="159" t="str">
        <f t="shared" si="24"/>
        <v/>
      </c>
      <c r="BM38" s="159" t="str">
        <f t="shared" si="24"/>
        <v/>
      </c>
      <c r="BN38" s="159" t="str">
        <f t="shared" si="24"/>
        <v/>
      </c>
      <c r="BO38" s="159" t="str">
        <f t="shared" si="24"/>
        <v/>
      </c>
      <c r="BP38" s="159" t="str">
        <f t="shared" si="24"/>
        <v/>
      </c>
      <c r="BQ38" s="159" t="str">
        <f t="shared" si="24"/>
        <v/>
      </c>
      <c r="BR38" s="159" t="str">
        <f t="shared" si="24"/>
        <v/>
      </c>
      <c r="BS38" s="159" t="str">
        <f t="shared" si="24"/>
        <v/>
      </c>
      <c r="BT38" s="159" t="str">
        <f t="shared" si="24"/>
        <v/>
      </c>
      <c r="BU38" s="159" t="str">
        <f t="shared" si="24"/>
        <v/>
      </c>
      <c r="BV38" s="159" t="str">
        <f t="shared" si="24"/>
        <v/>
      </c>
      <c r="BW38" s="159" t="str">
        <f t="shared" si="24"/>
        <v/>
      </c>
      <c r="BX38" s="159" t="str">
        <f t="shared" si="24"/>
        <v/>
      </c>
      <c r="BY38" s="159" t="str">
        <f t="shared" si="24"/>
        <v/>
      </c>
      <c r="BZ38" s="159" t="str">
        <f t="shared" si="24"/>
        <v/>
      </c>
      <c r="CA38" s="159" t="str">
        <f t="shared" si="24"/>
        <v/>
      </c>
      <c r="CB38" s="159" t="str">
        <f t="shared" si="24"/>
        <v/>
      </c>
      <c r="CC38" s="159" t="str">
        <f t="shared" si="24"/>
        <v/>
      </c>
      <c r="CD38" s="159" t="str">
        <f t="shared" si="24"/>
        <v/>
      </c>
      <c r="CE38" s="159" t="str">
        <f t="shared" si="24"/>
        <v/>
      </c>
      <c r="CF38" s="160">
        <f t="shared" si="21"/>
        <v>0</v>
      </c>
      <c r="CG38" s="161">
        <f t="shared" si="22"/>
        <v>0</v>
      </c>
    </row>
    <row r="39" spans="1:85" s="153" customFormat="1" ht="15" customHeight="1" x14ac:dyDescent="0.2">
      <c r="A39" s="312" t="s">
        <v>365</v>
      </c>
      <c r="B39" s="313"/>
      <c r="C39" s="144"/>
      <c r="D39" s="144"/>
      <c r="E39" s="144"/>
      <c r="F39" s="315"/>
      <c r="G39" s="144"/>
      <c r="H39" s="145"/>
      <c r="I39" s="145"/>
      <c r="J39" s="145"/>
      <c r="K39" s="146"/>
      <c r="L39" s="146"/>
      <c r="M39" s="147"/>
      <c r="N39" s="148"/>
      <c r="O39" s="148"/>
      <c r="P39" s="149"/>
      <c r="Q39" s="147"/>
      <c r="R39" s="148"/>
      <c r="S39" s="148"/>
      <c r="T39" s="149"/>
      <c r="U39" s="147"/>
      <c r="V39" s="148"/>
      <c r="W39" s="148"/>
      <c r="X39" s="149"/>
      <c r="Y39" s="147"/>
      <c r="Z39" s="148"/>
      <c r="AA39" s="148"/>
      <c r="AB39" s="149"/>
      <c r="AC39" s="148"/>
      <c r="AD39" s="150" t="str">
        <f>IF(OR(WEEKDAY(AD$9)=1,WEEKDAY(AD$9)=7),"В",IF(AD$9=$H$3,"О",""))</f>
        <v/>
      </c>
      <c r="AE39" s="150" t="str">
        <f t="shared" ref="AE39:CE39" si="25">IF(OR(WEEKDAY(AE$9)=1,WEEKDAY(AE$9)=7),"В",IF(AE$9=$H$3,"О",""))</f>
        <v/>
      </c>
      <c r="AF39" s="150" t="str">
        <f t="shared" si="25"/>
        <v/>
      </c>
      <c r="AG39" s="150" t="str">
        <f t="shared" si="25"/>
        <v>В</v>
      </c>
      <c r="AH39" s="150" t="str">
        <f t="shared" si="25"/>
        <v>В</v>
      </c>
      <c r="AI39" s="150" t="str">
        <f t="shared" si="25"/>
        <v/>
      </c>
      <c r="AJ39" s="150" t="str">
        <f t="shared" si="25"/>
        <v/>
      </c>
      <c r="AK39" s="150" t="str">
        <f t="shared" si="25"/>
        <v/>
      </c>
      <c r="AL39" s="150" t="str">
        <f t="shared" si="25"/>
        <v/>
      </c>
      <c r="AM39" s="150" t="str">
        <f t="shared" si="25"/>
        <v/>
      </c>
      <c r="AN39" s="150" t="str">
        <f t="shared" si="25"/>
        <v>В</v>
      </c>
      <c r="AO39" s="150" t="str">
        <f t="shared" si="25"/>
        <v>В</v>
      </c>
      <c r="AP39" s="150" t="str">
        <f t="shared" si="25"/>
        <v/>
      </c>
      <c r="AQ39" s="150" t="str">
        <f t="shared" si="25"/>
        <v/>
      </c>
      <c r="AR39" s="150" t="str">
        <f t="shared" si="25"/>
        <v/>
      </c>
      <c r="AS39" s="150" t="str">
        <f t="shared" si="25"/>
        <v/>
      </c>
      <c r="AT39" s="150" t="str">
        <f t="shared" si="25"/>
        <v/>
      </c>
      <c r="AU39" s="150" t="str">
        <f t="shared" si="25"/>
        <v>В</v>
      </c>
      <c r="AV39" s="150" t="str">
        <f t="shared" si="25"/>
        <v>В</v>
      </c>
      <c r="AW39" s="150" t="str">
        <f t="shared" si="25"/>
        <v/>
      </c>
      <c r="AX39" s="150" t="str">
        <f t="shared" si="25"/>
        <v/>
      </c>
      <c r="AY39" s="150" t="str">
        <f t="shared" si="25"/>
        <v/>
      </c>
      <c r="AZ39" s="150" t="str">
        <f t="shared" si="25"/>
        <v/>
      </c>
      <c r="BA39" s="150" t="str">
        <f t="shared" si="25"/>
        <v/>
      </c>
      <c r="BB39" s="150" t="str">
        <f t="shared" si="25"/>
        <v>В</v>
      </c>
      <c r="BC39" s="150" t="str">
        <f t="shared" si="25"/>
        <v>В</v>
      </c>
      <c r="BD39" s="150" t="str">
        <f t="shared" si="25"/>
        <v/>
      </c>
      <c r="BE39" s="150" t="str">
        <f t="shared" si="25"/>
        <v/>
      </c>
      <c r="BF39" s="150" t="str">
        <f t="shared" si="25"/>
        <v/>
      </c>
      <c r="BG39" s="150" t="str">
        <f t="shared" si="25"/>
        <v/>
      </c>
      <c r="BH39" s="150" t="str">
        <f t="shared" si="25"/>
        <v/>
      </c>
      <c r="BI39" s="150" t="str">
        <f t="shared" si="25"/>
        <v>В</v>
      </c>
      <c r="BJ39" s="150" t="str">
        <f t="shared" si="25"/>
        <v>В</v>
      </c>
      <c r="BK39" s="150" t="str">
        <f t="shared" si="25"/>
        <v/>
      </c>
      <c r="BL39" s="150" t="str">
        <f t="shared" si="25"/>
        <v/>
      </c>
      <c r="BM39" s="150" t="str">
        <f t="shared" si="25"/>
        <v/>
      </c>
      <c r="BN39" s="150" t="str">
        <f t="shared" si="25"/>
        <v/>
      </c>
      <c r="BO39" s="150" t="str">
        <f t="shared" si="25"/>
        <v/>
      </c>
      <c r="BP39" s="150" t="str">
        <f t="shared" si="25"/>
        <v>В</v>
      </c>
      <c r="BQ39" s="150" t="str">
        <f t="shared" si="25"/>
        <v>В</v>
      </c>
      <c r="BR39" s="150" t="str">
        <f t="shared" si="25"/>
        <v/>
      </c>
      <c r="BS39" s="150" t="str">
        <f t="shared" si="25"/>
        <v/>
      </c>
      <c r="BT39" s="150" t="str">
        <f t="shared" si="25"/>
        <v/>
      </c>
      <c r="BU39" s="150" t="str">
        <f t="shared" si="25"/>
        <v/>
      </c>
      <c r="BV39" s="150" t="str">
        <f t="shared" si="25"/>
        <v/>
      </c>
      <c r="BW39" s="150" t="str">
        <f t="shared" si="25"/>
        <v>В</v>
      </c>
      <c r="BX39" s="150" t="str">
        <f t="shared" si="25"/>
        <v>В</v>
      </c>
      <c r="BY39" s="150" t="str">
        <f t="shared" si="25"/>
        <v/>
      </c>
      <c r="BZ39" s="150" t="str">
        <f t="shared" si="25"/>
        <v/>
      </c>
      <c r="CA39" s="150" t="str">
        <f t="shared" si="25"/>
        <v/>
      </c>
      <c r="CB39" s="150" t="str">
        <f t="shared" si="25"/>
        <v/>
      </c>
      <c r="CC39" s="150" t="str">
        <f t="shared" si="25"/>
        <v/>
      </c>
      <c r="CD39" s="150" t="str">
        <f t="shared" si="25"/>
        <v>В</v>
      </c>
      <c r="CE39" s="150" t="str">
        <f t="shared" si="25"/>
        <v>В</v>
      </c>
      <c r="CF39" s="151"/>
      <c r="CG39" s="152"/>
    </row>
    <row r="40" spans="1:85" ht="12" customHeight="1" x14ac:dyDescent="0.2">
      <c r="A40" s="154">
        <v>1</v>
      </c>
      <c r="B40" s="155"/>
      <c r="C40" s="155" t="s">
        <v>423</v>
      </c>
      <c r="D40" s="155" t="s">
        <v>367</v>
      </c>
      <c r="E40" s="181">
        <v>1.6080000000000001</v>
      </c>
      <c r="F40" s="316"/>
      <c r="G40" s="183">
        <f>$F$10*E40</f>
        <v>746.11200000000008</v>
      </c>
      <c r="H40" s="155"/>
      <c r="I40" s="221"/>
      <c r="J40" s="155"/>
      <c r="K40" s="155"/>
      <c r="L40" s="155"/>
      <c r="M40" s="156"/>
      <c r="N40" s="154"/>
      <c r="O40" s="154"/>
      <c r="P40" s="157"/>
      <c r="Q40" s="156"/>
      <c r="R40" s="154"/>
      <c r="S40" s="154"/>
      <c r="T40" s="157"/>
      <c r="U40" s="156"/>
      <c r="V40" s="154"/>
      <c r="W40" s="154"/>
      <c r="X40" s="157"/>
      <c r="Y40" s="156"/>
      <c r="Z40" s="154"/>
      <c r="AA40" s="154"/>
      <c r="AB40" s="157"/>
      <c r="AC40" s="158"/>
      <c r="AD40" s="159" t="str">
        <f t="shared" ref="AD40:CE40" si="26">IF(AD$9=$M40,$P40,IF(AD$9=$Q40,$T40,IF(AD$9=$U40,$X40,IF(AD$9=$Y40,$AB40,IF(AD$9=$L40,"ПС",IF(AD$9=$I40,"КС",IF(AND(AD$9&lt;$I40,AD$9&gt;$L40),"--","")))))))</f>
        <v/>
      </c>
      <c r="AE40" s="159" t="str">
        <f t="shared" si="26"/>
        <v/>
      </c>
      <c r="AF40" s="159" t="str">
        <f t="shared" si="26"/>
        <v/>
      </c>
      <c r="AG40" s="159" t="str">
        <f t="shared" si="26"/>
        <v/>
      </c>
      <c r="AH40" s="159" t="str">
        <f t="shared" si="26"/>
        <v/>
      </c>
      <c r="AI40" s="159" t="str">
        <f t="shared" si="26"/>
        <v/>
      </c>
      <c r="AJ40" s="159" t="str">
        <f t="shared" si="26"/>
        <v/>
      </c>
      <c r="AK40" s="159" t="str">
        <f t="shared" si="26"/>
        <v/>
      </c>
      <c r="AL40" s="159" t="str">
        <f t="shared" si="26"/>
        <v/>
      </c>
      <c r="AM40" s="159" t="str">
        <f t="shared" si="26"/>
        <v/>
      </c>
      <c r="AN40" s="159" t="str">
        <f t="shared" si="26"/>
        <v/>
      </c>
      <c r="AO40" s="159" t="str">
        <f t="shared" si="26"/>
        <v/>
      </c>
      <c r="AP40" s="159" t="str">
        <f t="shared" si="26"/>
        <v/>
      </c>
      <c r="AQ40" s="159" t="str">
        <f t="shared" si="26"/>
        <v/>
      </c>
      <c r="AR40" s="159" t="str">
        <f t="shared" si="26"/>
        <v/>
      </c>
      <c r="AS40" s="159" t="str">
        <f t="shared" si="26"/>
        <v/>
      </c>
      <c r="AT40" s="159" t="str">
        <f t="shared" si="26"/>
        <v/>
      </c>
      <c r="AU40" s="159" t="str">
        <f t="shared" si="26"/>
        <v/>
      </c>
      <c r="AV40" s="159" t="str">
        <f t="shared" si="26"/>
        <v/>
      </c>
      <c r="AW40" s="159" t="str">
        <f t="shared" si="26"/>
        <v/>
      </c>
      <c r="AX40" s="159" t="str">
        <f t="shared" si="26"/>
        <v/>
      </c>
      <c r="AY40" s="159" t="str">
        <f t="shared" si="26"/>
        <v/>
      </c>
      <c r="AZ40" s="159" t="str">
        <f t="shared" si="26"/>
        <v/>
      </c>
      <c r="BA40" s="159" t="str">
        <f t="shared" si="26"/>
        <v/>
      </c>
      <c r="BB40" s="159" t="str">
        <f t="shared" si="26"/>
        <v/>
      </c>
      <c r="BC40" s="159" t="str">
        <f t="shared" si="26"/>
        <v/>
      </c>
      <c r="BD40" s="159" t="str">
        <f t="shared" si="26"/>
        <v/>
      </c>
      <c r="BE40" s="159" t="str">
        <f t="shared" si="26"/>
        <v/>
      </c>
      <c r="BF40" s="159" t="str">
        <f t="shared" si="26"/>
        <v/>
      </c>
      <c r="BG40" s="159" t="str">
        <f t="shared" si="26"/>
        <v/>
      </c>
      <c r="BH40" s="159" t="str">
        <f t="shared" si="26"/>
        <v/>
      </c>
      <c r="BI40" s="159" t="str">
        <f t="shared" si="26"/>
        <v/>
      </c>
      <c r="BJ40" s="159" t="str">
        <f t="shared" si="26"/>
        <v/>
      </c>
      <c r="BK40" s="159" t="str">
        <f t="shared" si="26"/>
        <v/>
      </c>
      <c r="BL40" s="159" t="str">
        <f t="shared" si="26"/>
        <v/>
      </c>
      <c r="BM40" s="159" t="str">
        <f t="shared" si="26"/>
        <v/>
      </c>
      <c r="BN40" s="159" t="str">
        <f t="shared" si="26"/>
        <v/>
      </c>
      <c r="BO40" s="159" t="str">
        <f t="shared" si="26"/>
        <v/>
      </c>
      <c r="BP40" s="159" t="str">
        <f t="shared" si="26"/>
        <v/>
      </c>
      <c r="BQ40" s="159" t="str">
        <f t="shared" si="26"/>
        <v/>
      </c>
      <c r="BR40" s="159" t="str">
        <f t="shared" si="26"/>
        <v/>
      </c>
      <c r="BS40" s="159" t="str">
        <f t="shared" si="26"/>
        <v/>
      </c>
      <c r="BT40" s="159" t="str">
        <f t="shared" si="26"/>
        <v/>
      </c>
      <c r="BU40" s="159" t="str">
        <f t="shared" si="26"/>
        <v/>
      </c>
      <c r="BV40" s="159" t="str">
        <f t="shared" si="26"/>
        <v/>
      </c>
      <c r="BW40" s="159" t="str">
        <f t="shared" si="26"/>
        <v/>
      </c>
      <c r="BX40" s="159" t="str">
        <f t="shared" si="26"/>
        <v/>
      </c>
      <c r="BY40" s="159" t="str">
        <f t="shared" si="26"/>
        <v/>
      </c>
      <c r="BZ40" s="159" t="str">
        <f t="shared" si="26"/>
        <v/>
      </c>
      <c r="CA40" s="159" t="str">
        <f t="shared" si="26"/>
        <v/>
      </c>
      <c r="CB40" s="159" t="str">
        <f t="shared" si="26"/>
        <v/>
      </c>
      <c r="CC40" s="159" t="str">
        <f t="shared" si="26"/>
        <v/>
      </c>
      <c r="CD40" s="159" t="str">
        <f t="shared" si="26"/>
        <v/>
      </c>
      <c r="CE40" s="159" t="str">
        <f t="shared" si="26"/>
        <v/>
      </c>
      <c r="CF40" s="160">
        <f>SUM(AB40+X40+T40+P40)</f>
        <v>0</v>
      </c>
      <c r="CG40" s="161">
        <f>CF40/E40</f>
        <v>0</v>
      </c>
    </row>
    <row r="42" spans="1:85" ht="18" x14ac:dyDescent="0.25">
      <c r="A42" s="162" t="s">
        <v>157</v>
      </c>
      <c r="B42" s="115"/>
      <c r="C42" s="115"/>
      <c r="I42" s="163" t="s">
        <v>158</v>
      </c>
      <c r="J42" s="164"/>
      <c r="K42" s="165"/>
      <c r="L42" s="166"/>
      <c r="CF42" s="116" t="s">
        <v>159</v>
      </c>
    </row>
    <row r="43" spans="1:85" ht="15" x14ac:dyDescent="0.25">
      <c r="H43" s="167"/>
      <c r="I43" s="168" t="s">
        <v>160</v>
      </c>
      <c r="J43" s="169"/>
      <c r="K43" s="167"/>
      <c r="L43" s="170" t="s">
        <v>38</v>
      </c>
      <c r="CF43" s="116" t="s">
        <v>161</v>
      </c>
    </row>
    <row r="44" spans="1:85" ht="15" x14ac:dyDescent="0.2">
      <c r="A44" s="171" t="s">
        <v>162</v>
      </c>
      <c r="H44" s="167"/>
      <c r="I44" s="168" t="s">
        <v>163</v>
      </c>
      <c r="J44" s="169"/>
      <c r="K44" s="167"/>
      <c r="L44" s="172"/>
      <c r="CF44" s="173" t="s">
        <v>118</v>
      </c>
    </row>
    <row r="45" spans="1:85" ht="15.75" customHeight="1" x14ac:dyDescent="0.2">
      <c r="H45" s="167"/>
      <c r="I45" s="168"/>
      <c r="J45" s="167"/>
      <c r="K45" s="167"/>
      <c r="L45" s="174"/>
      <c r="CF45" s="116" t="s">
        <v>164</v>
      </c>
    </row>
    <row r="46" spans="1:85" ht="15" x14ac:dyDescent="0.2">
      <c r="A46" s="175" t="s">
        <v>165</v>
      </c>
      <c r="B46" s="176"/>
      <c r="C46" s="176"/>
      <c r="D46" s="176"/>
      <c r="E46" s="176"/>
      <c r="F46" s="176"/>
      <c r="G46" s="176"/>
      <c r="H46" s="176"/>
      <c r="I46" s="168"/>
      <c r="J46" s="167"/>
      <c r="K46" s="167"/>
      <c r="L46" s="172"/>
      <c r="CF46" s="116" t="s">
        <v>166</v>
      </c>
    </row>
    <row r="47" spans="1:85" ht="15" x14ac:dyDescent="0.25">
      <c r="H47" s="167"/>
      <c r="I47" s="168" t="s">
        <v>167</v>
      </c>
      <c r="J47" s="167"/>
      <c r="K47" s="167"/>
      <c r="L47" s="177"/>
    </row>
    <row r="48" spans="1:85" x14ac:dyDescent="0.2">
      <c r="A48" s="116" t="s">
        <v>168</v>
      </c>
      <c r="D48" s="178"/>
      <c r="E48" s="178"/>
      <c r="F48" s="178"/>
      <c r="G48" s="178"/>
      <c r="H48" s="178"/>
      <c r="I48" s="168"/>
      <c r="J48" s="167"/>
      <c r="K48" s="167"/>
      <c r="L48" s="167"/>
      <c r="CF48" s="116" t="s">
        <v>36</v>
      </c>
    </row>
    <row r="49" spans="1:84" x14ac:dyDescent="0.2">
      <c r="A49" s="116" t="s">
        <v>169</v>
      </c>
      <c r="I49" s="168" t="s">
        <v>170</v>
      </c>
      <c r="J49" s="167"/>
      <c r="K49" s="167"/>
      <c r="L49" s="167"/>
      <c r="CF49" s="116" t="s">
        <v>38</v>
      </c>
    </row>
    <row r="50" spans="1:84" x14ac:dyDescent="0.2">
      <c r="A50" s="116" t="s">
        <v>171</v>
      </c>
      <c r="I50" s="179"/>
      <c r="J50" s="178"/>
      <c r="K50" s="178"/>
      <c r="L50" s="180"/>
    </row>
  </sheetData>
  <mergeCells count="34">
    <mergeCell ref="A8:A9"/>
    <mergeCell ref="A29:B29"/>
    <mergeCell ref="K1:L1"/>
    <mergeCell ref="A2:C2"/>
    <mergeCell ref="D2:H2"/>
    <mergeCell ref="K2:L2"/>
    <mergeCell ref="C8:C9"/>
    <mergeCell ref="D8:D9"/>
    <mergeCell ref="E8:E9"/>
    <mergeCell ref="A1:C1"/>
    <mergeCell ref="D1:H1"/>
    <mergeCell ref="A3:C3"/>
    <mergeCell ref="D3:G3"/>
    <mergeCell ref="A5:AA5"/>
    <mergeCell ref="B8:B9"/>
    <mergeCell ref="Q8:T8"/>
    <mergeCell ref="U8:X8"/>
    <mergeCell ref="Y8:AB8"/>
    <mergeCell ref="A22:B22"/>
    <mergeCell ref="A31:B31"/>
    <mergeCell ref="A39:B39"/>
    <mergeCell ref="F10:F40"/>
    <mergeCell ref="AE5:CE5"/>
    <mergeCell ref="A6:AD6"/>
    <mergeCell ref="A10:B10"/>
    <mergeCell ref="AD8:CE8"/>
    <mergeCell ref="F8:F9"/>
    <mergeCell ref="G8:G9"/>
    <mergeCell ref="H8:H9"/>
    <mergeCell ref="I8:I9"/>
    <mergeCell ref="J8:J9"/>
    <mergeCell ref="K8:K9"/>
    <mergeCell ref="L8:L9"/>
    <mergeCell ref="M8:P8"/>
  </mergeCells>
  <conditionalFormatting sqref="I11">
    <cfRule type="cellIs" dxfId="49" priority="51" operator="equal">
      <formula>0</formula>
    </cfRule>
  </conditionalFormatting>
  <conditionalFormatting sqref="G11">
    <cfRule type="cellIs" dxfId="48" priority="50" operator="equal">
      <formula>0</formula>
    </cfRule>
  </conditionalFormatting>
  <conditionalFormatting sqref="I12">
    <cfRule type="cellIs" dxfId="47" priority="48" operator="equal">
      <formula>0</formula>
    </cfRule>
  </conditionalFormatting>
  <conditionalFormatting sqref="G12">
    <cfRule type="cellIs" dxfId="46" priority="47" operator="equal">
      <formula>0</formula>
    </cfRule>
  </conditionalFormatting>
  <conditionalFormatting sqref="I13">
    <cfRule type="cellIs" dxfId="45" priority="46" operator="equal">
      <formula>0</formula>
    </cfRule>
  </conditionalFormatting>
  <conditionalFormatting sqref="G13">
    <cfRule type="cellIs" dxfId="44" priority="45" operator="equal">
      <formula>0</formula>
    </cfRule>
  </conditionalFormatting>
  <conditionalFormatting sqref="I14">
    <cfRule type="cellIs" dxfId="43" priority="44" operator="equal">
      <formula>0</formula>
    </cfRule>
  </conditionalFormatting>
  <conditionalFormatting sqref="G14">
    <cfRule type="cellIs" dxfId="42" priority="43" operator="equal">
      <formula>0</formula>
    </cfRule>
  </conditionalFormatting>
  <conditionalFormatting sqref="I15">
    <cfRule type="cellIs" dxfId="41" priority="42" operator="equal">
      <formula>0</formula>
    </cfRule>
  </conditionalFormatting>
  <conditionalFormatting sqref="G15">
    <cfRule type="cellIs" dxfId="40" priority="41" operator="equal">
      <formula>0</formula>
    </cfRule>
  </conditionalFormatting>
  <conditionalFormatting sqref="I16">
    <cfRule type="cellIs" dxfId="39" priority="40" operator="equal">
      <formula>0</formula>
    </cfRule>
  </conditionalFormatting>
  <conditionalFormatting sqref="G16">
    <cfRule type="cellIs" dxfId="38" priority="39" operator="equal">
      <formula>0</formula>
    </cfRule>
  </conditionalFormatting>
  <conditionalFormatting sqref="I17">
    <cfRule type="cellIs" dxfId="37" priority="38" operator="equal">
      <formula>0</formula>
    </cfRule>
  </conditionalFormatting>
  <conditionalFormatting sqref="G17">
    <cfRule type="cellIs" dxfId="36" priority="37" operator="equal">
      <formula>0</formula>
    </cfRule>
  </conditionalFormatting>
  <conditionalFormatting sqref="I18">
    <cfRule type="cellIs" dxfId="35" priority="36" operator="equal">
      <formula>0</formula>
    </cfRule>
  </conditionalFormatting>
  <conditionalFormatting sqref="G18">
    <cfRule type="cellIs" dxfId="34" priority="35" operator="equal">
      <formula>0</formula>
    </cfRule>
  </conditionalFormatting>
  <conditionalFormatting sqref="I19">
    <cfRule type="cellIs" dxfId="33" priority="34" operator="equal">
      <formula>0</formula>
    </cfRule>
  </conditionalFormatting>
  <conditionalFormatting sqref="G19">
    <cfRule type="cellIs" dxfId="32" priority="33" operator="equal">
      <formula>0</formula>
    </cfRule>
  </conditionalFormatting>
  <conditionalFormatting sqref="I20">
    <cfRule type="cellIs" dxfId="31" priority="32" operator="equal">
      <formula>0</formula>
    </cfRule>
  </conditionalFormatting>
  <conditionalFormatting sqref="G20">
    <cfRule type="cellIs" dxfId="30" priority="31" operator="equal">
      <formula>0</formula>
    </cfRule>
  </conditionalFormatting>
  <conditionalFormatting sqref="I21">
    <cfRule type="cellIs" dxfId="29" priority="30" operator="equal">
      <formula>0</formula>
    </cfRule>
  </conditionalFormatting>
  <conditionalFormatting sqref="G21">
    <cfRule type="cellIs" dxfId="28" priority="29" operator="equal">
      <formula>0</formula>
    </cfRule>
  </conditionalFormatting>
  <conditionalFormatting sqref="I23">
    <cfRule type="cellIs" dxfId="27" priority="28" operator="equal">
      <formula>0</formula>
    </cfRule>
  </conditionalFormatting>
  <conditionalFormatting sqref="G23">
    <cfRule type="cellIs" dxfId="26" priority="27" operator="equal">
      <formula>0</formula>
    </cfRule>
  </conditionalFormatting>
  <conditionalFormatting sqref="I24">
    <cfRule type="cellIs" dxfId="25" priority="26" operator="equal">
      <formula>0</formula>
    </cfRule>
  </conditionalFormatting>
  <conditionalFormatting sqref="G24">
    <cfRule type="cellIs" dxfId="24" priority="25" operator="equal">
      <formula>0</formula>
    </cfRule>
  </conditionalFormatting>
  <conditionalFormatting sqref="I25">
    <cfRule type="cellIs" dxfId="23" priority="24" operator="equal">
      <formula>0</formula>
    </cfRule>
  </conditionalFormatting>
  <conditionalFormatting sqref="G25">
    <cfRule type="cellIs" dxfId="22" priority="23" operator="equal">
      <formula>0</formula>
    </cfRule>
  </conditionalFormatting>
  <conditionalFormatting sqref="I26">
    <cfRule type="cellIs" dxfId="21" priority="22" operator="equal">
      <formula>0</formula>
    </cfRule>
  </conditionalFormatting>
  <conditionalFormatting sqref="G26">
    <cfRule type="cellIs" dxfId="20" priority="21" operator="equal">
      <formula>0</formula>
    </cfRule>
  </conditionalFormatting>
  <conditionalFormatting sqref="I27">
    <cfRule type="cellIs" dxfId="19" priority="20" operator="equal">
      <formula>0</formula>
    </cfRule>
  </conditionalFormatting>
  <conditionalFormatting sqref="G27">
    <cfRule type="cellIs" dxfId="18" priority="19" operator="equal">
      <formula>0</formula>
    </cfRule>
  </conditionalFormatting>
  <conditionalFormatting sqref="I28 I30">
    <cfRule type="cellIs" dxfId="17" priority="18" operator="equal">
      <formula>0</formula>
    </cfRule>
  </conditionalFormatting>
  <conditionalFormatting sqref="G28 G30">
    <cfRule type="cellIs" dxfId="16" priority="17" operator="equal">
      <formula>0</formula>
    </cfRule>
  </conditionalFormatting>
  <conditionalFormatting sqref="I32">
    <cfRule type="cellIs" dxfId="15" priority="16" operator="equal">
      <formula>0</formula>
    </cfRule>
  </conditionalFormatting>
  <conditionalFormatting sqref="G32">
    <cfRule type="cellIs" dxfId="14" priority="15" operator="equal">
      <formula>0</formula>
    </cfRule>
  </conditionalFormatting>
  <conditionalFormatting sqref="I33">
    <cfRule type="cellIs" dxfId="13" priority="14" operator="equal">
      <formula>0</formula>
    </cfRule>
  </conditionalFormatting>
  <conditionalFormatting sqref="G33">
    <cfRule type="cellIs" dxfId="12" priority="13" operator="equal">
      <formula>0</formula>
    </cfRule>
  </conditionalFormatting>
  <conditionalFormatting sqref="I34">
    <cfRule type="cellIs" dxfId="11" priority="12" operator="equal">
      <formula>0</formula>
    </cfRule>
  </conditionalFormatting>
  <conditionalFormatting sqref="G34">
    <cfRule type="cellIs" dxfId="10" priority="11" operator="equal">
      <formula>0</formula>
    </cfRule>
  </conditionalFormatting>
  <conditionalFormatting sqref="I35">
    <cfRule type="cellIs" dxfId="9" priority="10" operator="equal">
      <formula>0</formula>
    </cfRule>
  </conditionalFormatting>
  <conditionalFormatting sqref="G35">
    <cfRule type="cellIs" dxfId="8" priority="9" operator="equal">
      <formula>0</formula>
    </cfRule>
  </conditionalFormatting>
  <conditionalFormatting sqref="I36">
    <cfRule type="cellIs" dxfId="7" priority="8" operator="equal">
      <formula>0</formula>
    </cfRule>
  </conditionalFormatting>
  <conditionalFormatting sqref="G36">
    <cfRule type="cellIs" dxfId="6" priority="7" operator="equal">
      <formula>0</formula>
    </cfRule>
  </conditionalFormatting>
  <conditionalFormatting sqref="I37">
    <cfRule type="cellIs" dxfId="5" priority="6" operator="equal">
      <formula>0</formula>
    </cfRule>
  </conditionalFormatting>
  <conditionalFormatting sqref="G37">
    <cfRule type="cellIs" dxfId="4" priority="5" operator="equal">
      <formula>0</formula>
    </cfRule>
  </conditionalFormatting>
  <conditionalFormatting sqref="I38">
    <cfRule type="cellIs" dxfId="3" priority="4" operator="equal">
      <formula>0</formula>
    </cfRule>
  </conditionalFormatting>
  <conditionalFormatting sqref="G38">
    <cfRule type="cellIs" dxfId="2" priority="3" operator="equal">
      <formula>0</formula>
    </cfRule>
  </conditionalFormatting>
  <conditionalFormatting sqref="I40">
    <cfRule type="cellIs" dxfId="1" priority="2" operator="equal">
      <formula>0</formula>
    </cfRule>
  </conditionalFormatting>
  <conditionalFormatting sqref="G40">
    <cfRule type="cellIs" dxfId="0" priority="1" operator="equal">
      <formula>0</formula>
    </cfRule>
  </conditionalFormatting>
  <dataValidations disablePrompts="1" count="2">
    <dataValidation type="list" allowBlank="1" showInputMessage="1" showErrorMessage="1" sqref="L43 JH43 TD43 ACZ43 AMV43 AWR43 BGN43 BQJ43 CAF43 CKB43 CTX43 DDT43 DNP43 DXL43 EHH43 ERD43 FAZ43 FKV43 FUR43 GEN43 GOJ43 GYF43 HIB43 HRX43 IBT43 ILP43 IVL43 JFH43 JPD43 JYZ43 KIV43 KSR43 LCN43 LMJ43 LWF43 MGB43 MPX43 MZT43 NJP43 NTL43 ODH43 OND43 OWZ43 PGV43 PQR43 QAN43 QKJ43 QUF43 REB43 RNX43 RXT43 SHP43 SRL43 TBH43 TLD43 TUZ43 UEV43 UOR43 UYN43 VIJ43 VSF43 WCB43 WLX43 WVT43 L65579 JH65579 TD65579 ACZ65579 AMV65579 AWR65579 BGN65579 BQJ65579 CAF65579 CKB65579 CTX65579 DDT65579 DNP65579 DXL65579 EHH65579 ERD65579 FAZ65579 FKV65579 FUR65579 GEN65579 GOJ65579 GYF65579 HIB65579 HRX65579 IBT65579 ILP65579 IVL65579 JFH65579 JPD65579 JYZ65579 KIV65579 KSR65579 LCN65579 LMJ65579 LWF65579 MGB65579 MPX65579 MZT65579 NJP65579 NTL65579 ODH65579 OND65579 OWZ65579 PGV65579 PQR65579 QAN65579 QKJ65579 QUF65579 REB65579 RNX65579 RXT65579 SHP65579 SRL65579 TBH65579 TLD65579 TUZ65579 UEV65579 UOR65579 UYN65579 VIJ65579 VSF65579 WCB65579 WLX65579 WVT65579 L131115 JH131115 TD131115 ACZ131115 AMV131115 AWR131115 BGN131115 BQJ131115 CAF131115 CKB131115 CTX131115 DDT131115 DNP131115 DXL131115 EHH131115 ERD131115 FAZ131115 FKV131115 FUR131115 GEN131115 GOJ131115 GYF131115 HIB131115 HRX131115 IBT131115 ILP131115 IVL131115 JFH131115 JPD131115 JYZ131115 KIV131115 KSR131115 LCN131115 LMJ131115 LWF131115 MGB131115 MPX131115 MZT131115 NJP131115 NTL131115 ODH131115 OND131115 OWZ131115 PGV131115 PQR131115 QAN131115 QKJ131115 QUF131115 REB131115 RNX131115 RXT131115 SHP131115 SRL131115 TBH131115 TLD131115 TUZ131115 UEV131115 UOR131115 UYN131115 VIJ131115 VSF131115 WCB131115 WLX131115 WVT131115 L196651 JH196651 TD196651 ACZ196651 AMV196651 AWR196651 BGN196651 BQJ196651 CAF196651 CKB196651 CTX196651 DDT196651 DNP196651 DXL196651 EHH196651 ERD196651 FAZ196651 FKV196651 FUR196651 GEN196651 GOJ196651 GYF196651 HIB196651 HRX196651 IBT196651 ILP196651 IVL196651 JFH196651 JPD196651 JYZ196651 KIV196651 KSR196651 LCN196651 LMJ196651 LWF196651 MGB196651 MPX196651 MZT196651 NJP196651 NTL196651 ODH196651 OND196651 OWZ196651 PGV196651 PQR196651 QAN196651 QKJ196651 QUF196651 REB196651 RNX196651 RXT196651 SHP196651 SRL196651 TBH196651 TLD196651 TUZ196651 UEV196651 UOR196651 UYN196651 VIJ196651 VSF196651 WCB196651 WLX196651 WVT196651 L262187 JH262187 TD262187 ACZ262187 AMV262187 AWR262187 BGN262187 BQJ262187 CAF262187 CKB262187 CTX262187 DDT262187 DNP262187 DXL262187 EHH262187 ERD262187 FAZ262187 FKV262187 FUR262187 GEN262187 GOJ262187 GYF262187 HIB262187 HRX262187 IBT262187 ILP262187 IVL262187 JFH262187 JPD262187 JYZ262187 KIV262187 KSR262187 LCN262187 LMJ262187 LWF262187 MGB262187 MPX262187 MZT262187 NJP262187 NTL262187 ODH262187 OND262187 OWZ262187 PGV262187 PQR262187 QAN262187 QKJ262187 QUF262187 REB262187 RNX262187 RXT262187 SHP262187 SRL262187 TBH262187 TLD262187 TUZ262187 UEV262187 UOR262187 UYN262187 VIJ262187 VSF262187 WCB262187 WLX262187 WVT262187 L327723 JH327723 TD327723 ACZ327723 AMV327723 AWR327723 BGN327723 BQJ327723 CAF327723 CKB327723 CTX327723 DDT327723 DNP327723 DXL327723 EHH327723 ERD327723 FAZ327723 FKV327723 FUR327723 GEN327723 GOJ327723 GYF327723 HIB327723 HRX327723 IBT327723 ILP327723 IVL327723 JFH327723 JPD327723 JYZ327723 KIV327723 KSR327723 LCN327723 LMJ327723 LWF327723 MGB327723 MPX327723 MZT327723 NJP327723 NTL327723 ODH327723 OND327723 OWZ327723 PGV327723 PQR327723 QAN327723 QKJ327723 QUF327723 REB327723 RNX327723 RXT327723 SHP327723 SRL327723 TBH327723 TLD327723 TUZ327723 UEV327723 UOR327723 UYN327723 VIJ327723 VSF327723 WCB327723 WLX327723 WVT327723 L393259 JH393259 TD393259 ACZ393259 AMV393259 AWR393259 BGN393259 BQJ393259 CAF393259 CKB393259 CTX393259 DDT393259 DNP393259 DXL393259 EHH393259 ERD393259 FAZ393259 FKV393259 FUR393259 GEN393259 GOJ393259 GYF393259 HIB393259 HRX393259 IBT393259 ILP393259 IVL393259 JFH393259 JPD393259 JYZ393259 KIV393259 KSR393259 LCN393259 LMJ393259 LWF393259 MGB393259 MPX393259 MZT393259 NJP393259 NTL393259 ODH393259 OND393259 OWZ393259 PGV393259 PQR393259 QAN393259 QKJ393259 QUF393259 REB393259 RNX393259 RXT393259 SHP393259 SRL393259 TBH393259 TLD393259 TUZ393259 UEV393259 UOR393259 UYN393259 VIJ393259 VSF393259 WCB393259 WLX393259 WVT393259 L458795 JH458795 TD458795 ACZ458795 AMV458795 AWR458795 BGN458795 BQJ458795 CAF458795 CKB458795 CTX458795 DDT458795 DNP458795 DXL458795 EHH458795 ERD458795 FAZ458795 FKV458795 FUR458795 GEN458795 GOJ458795 GYF458795 HIB458795 HRX458795 IBT458795 ILP458795 IVL458795 JFH458795 JPD458795 JYZ458795 KIV458795 KSR458795 LCN458795 LMJ458795 LWF458795 MGB458795 MPX458795 MZT458795 NJP458795 NTL458795 ODH458795 OND458795 OWZ458795 PGV458795 PQR458795 QAN458795 QKJ458795 QUF458795 REB458795 RNX458795 RXT458795 SHP458795 SRL458795 TBH458795 TLD458795 TUZ458795 UEV458795 UOR458795 UYN458795 VIJ458795 VSF458795 WCB458795 WLX458795 WVT458795 L524331 JH524331 TD524331 ACZ524331 AMV524331 AWR524331 BGN524331 BQJ524331 CAF524331 CKB524331 CTX524331 DDT524331 DNP524331 DXL524331 EHH524331 ERD524331 FAZ524331 FKV524331 FUR524331 GEN524331 GOJ524331 GYF524331 HIB524331 HRX524331 IBT524331 ILP524331 IVL524331 JFH524331 JPD524331 JYZ524331 KIV524331 KSR524331 LCN524331 LMJ524331 LWF524331 MGB524331 MPX524331 MZT524331 NJP524331 NTL524331 ODH524331 OND524331 OWZ524331 PGV524331 PQR524331 QAN524331 QKJ524331 QUF524331 REB524331 RNX524331 RXT524331 SHP524331 SRL524331 TBH524331 TLD524331 TUZ524331 UEV524331 UOR524331 UYN524331 VIJ524331 VSF524331 WCB524331 WLX524331 WVT524331 L589867 JH589867 TD589867 ACZ589867 AMV589867 AWR589867 BGN589867 BQJ589867 CAF589867 CKB589867 CTX589867 DDT589867 DNP589867 DXL589867 EHH589867 ERD589867 FAZ589867 FKV589867 FUR589867 GEN589867 GOJ589867 GYF589867 HIB589867 HRX589867 IBT589867 ILP589867 IVL589867 JFH589867 JPD589867 JYZ589867 KIV589867 KSR589867 LCN589867 LMJ589867 LWF589867 MGB589867 MPX589867 MZT589867 NJP589867 NTL589867 ODH589867 OND589867 OWZ589867 PGV589867 PQR589867 QAN589867 QKJ589867 QUF589867 REB589867 RNX589867 RXT589867 SHP589867 SRL589867 TBH589867 TLD589867 TUZ589867 UEV589867 UOR589867 UYN589867 VIJ589867 VSF589867 WCB589867 WLX589867 WVT589867 L655403 JH655403 TD655403 ACZ655403 AMV655403 AWR655403 BGN655403 BQJ655403 CAF655403 CKB655403 CTX655403 DDT655403 DNP655403 DXL655403 EHH655403 ERD655403 FAZ655403 FKV655403 FUR655403 GEN655403 GOJ655403 GYF655403 HIB655403 HRX655403 IBT655403 ILP655403 IVL655403 JFH655403 JPD655403 JYZ655403 KIV655403 KSR655403 LCN655403 LMJ655403 LWF655403 MGB655403 MPX655403 MZT655403 NJP655403 NTL655403 ODH655403 OND655403 OWZ655403 PGV655403 PQR655403 QAN655403 QKJ655403 QUF655403 REB655403 RNX655403 RXT655403 SHP655403 SRL655403 TBH655403 TLD655403 TUZ655403 UEV655403 UOR655403 UYN655403 VIJ655403 VSF655403 WCB655403 WLX655403 WVT655403 L720939 JH720939 TD720939 ACZ720939 AMV720939 AWR720939 BGN720939 BQJ720939 CAF720939 CKB720939 CTX720939 DDT720939 DNP720939 DXL720939 EHH720939 ERD720939 FAZ720939 FKV720939 FUR720939 GEN720939 GOJ720939 GYF720939 HIB720939 HRX720939 IBT720939 ILP720939 IVL720939 JFH720939 JPD720939 JYZ720939 KIV720939 KSR720939 LCN720939 LMJ720939 LWF720939 MGB720939 MPX720939 MZT720939 NJP720939 NTL720939 ODH720939 OND720939 OWZ720939 PGV720939 PQR720939 QAN720939 QKJ720939 QUF720939 REB720939 RNX720939 RXT720939 SHP720939 SRL720939 TBH720939 TLD720939 TUZ720939 UEV720939 UOR720939 UYN720939 VIJ720939 VSF720939 WCB720939 WLX720939 WVT720939 L786475 JH786475 TD786475 ACZ786475 AMV786475 AWR786475 BGN786475 BQJ786475 CAF786475 CKB786475 CTX786475 DDT786475 DNP786475 DXL786475 EHH786475 ERD786475 FAZ786475 FKV786475 FUR786475 GEN786475 GOJ786475 GYF786475 HIB786475 HRX786475 IBT786475 ILP786475 IVL786475 JFH786475 JPD786475 JYZ786475 KIV786475 KSR786475 LCN786475 LMJ786475 LWF786475 MGB786475 MPX786475 MZT786475 NJP786475 NTL786475 ODH786475 OND786475 OWZ786475 PGV786475 PQR786475 QAN786475 QKJ786475 QUF786475 REB786475 RNX786475 RXT786475 SHP786475 SRL786475 TBH786475 TLD786475 TUZ786475 UEV786475 UOR786475 UYN786475 VIJ786475 VSF786475 WCB786475 WLX786475 WVT786475 L852011 JH852011 TD852011 ACZ852011 AMV852011 AWR852011 BGN852011 BQJ852011 CAF852011 CKB852011 CTX852011 DDT852011 DNP852011 DXL852011 EHH852011 ERD852011 FAZ852011 FKV852011 FUR852011 GEN852011 GOJ852011 GYF852011 HIB852011 HRX852011 IBT852011 ILP852011 IVL852011 JFH852011 JPD852011 JYZ852011 KIV852011 KSR852011 LCN852011 LMJ852011 LWF852011 MGB852011 MPX852011 MZT852011 NJP852011 NTL852011 ODH852011 OND852011 OWZ852011 PGV852011 PQR852011 QAN852011 QKJ852011 QUF852011 REB852011 RNX852011 RXT852011 SHP852011 SRL852011 TBH852011 TLD852011 TUZ852011 UEV852011 UOR852011 UYN852011 VIJ852011 VSF852011 WCB852011 WLX852011 WVT852011 L917547 JH917547 TD917547 ACZ917547 AMV917547 AWR917547 BGN917547 BQJ917547 CAF917547 CKB917547 CTX917547 DDT917547 DNP917547 DXL917547 EHH917547 ERD917547 FAZ917547 FKV917547 FUR917547 GEN917547 GOJ917547 GYF917547 HIB917547 HRX917547 IBT917547 ILP917547 IVL917547 JFH917547 JPD917547 JYZ917547 KIV917547 KSR917547 LCN917547 LMJ917547 LWF917547 MGB917547 MPX917547 MZT917547 NJP917547 NTL917547 ODH917547 OND917547 OWZ917547 PGV917547 PQR917547 QAN917547 QKJ917547 QUF917547 REB917547 RNX917547 RXT917547 SHP917547 SRL917547 TBH917547 TLD917547 TUZ917547 UEV917547 UOR917547 UYN917547 VIJ917547 VSF917547 WCB917547 WLX917547 WVT917547 L983083 JH983083 TD983083 ACZ983083 AMV983083 AWR983083 BGN983083 BQJ983083 CAF983083 CKB983083 CTX983083 DDT983083 DNP983083 DXL983083 EHH983083 ERD983083 FAZ983083 FKV983083 FUR983083 GEN983083 GOJ983083 GYF983083 HIB983083 HRX983083 IBT983083 ILP983083 IVL983083 JFH983083 JPD983083 JYZ983083 KIV983083 KSR983083 LCN983083 LMJ983083 LWF983083 MGB983083 MPX983083 MZT983083 NJP983083 NTL983083 ODH983083 OND983083 OWZ983083 PGV983083 PQR983083 QAN983083 QKJ983083 QUF983083 REB983083 RNX983083 RXT983083 SHP983083 SRL983083 TBH983083 TLD983083 TUZ983083 UEV983083 UOR983083 UYN983083 VIJ983083 VSF983083 WCB983083 WLX983083 WVT983083">
      <formula1>$CF$48:$CF$49</formula1>
    </dataValidation>
    <dataValidation type="list" allowBlank="1" showInputMessage="1" showErrorMessage="1" sqref="K1 JG1 TC1 ACY1 AMU1 AWQ1 BGM1 BQI1 CAE1 CKA1 CTW1 DDS1 DNO1 DXK1 EHG1 ERC1 FAY1 FKU1 FUQ1 GEM1 GOI1 GYE1 HIA1 HRW1 IBS1 ILO1 IVK1 JFG1 JPC1 JYY1 KIU1 KSQ1 LCM1 LMI1 LWE1 MGA1 MPW1 MZS1 NJO1 NTK1 ODG1 ONC1 OWY1 PGU1 PQQ1 QAM1 QKI1 QUE1 REA1 RNW1 RXS1 SHO1 SRK1 TBG1 TLC1 TUY1 UEU1 UOQ1 UYM1 VII1 VSE1 WCA1 WLW1 WVS1 K65436 JG65436 TC65436 ACY65436 AMU65436 AWQ65436 BGM65436 BQI65436 CAE65436 CKA65436 CTW65436 DDS65436 DNO65436 DXK65436 EHG65436 ERC65436 FAY65436 FKU65436 FUQ65436 GEM65436 GOI65436 GYE65436 HIA65436 HRW65436 IBS65436 ILO65436 IVK65436 JFG65436 JPC65436 JYY65436 KIU65436 KSQ65436 LCM65436 LMI65436 LWE65436 MGA65436 MPW65436 MZS65436 NJO65436 NTK65436 ODG65436 ONC65436 OWY65436 PGU65436 PQQ65436 QAM65436 QKI65436 QUE65436 REA65436 RNW65436 RXS65436 SHO65436 SRK65436 TBG65436 TLC65436 TUY65436 UEU65436 UOQ65436 UYM65436 VII65436 VSE65436 WCA65436 WLW65436 WVS65436 K130972 JG130972 TC130972 ACY130972 AMU130972 AWQ130972 BGM130972 BQI130972 CAE130972 CKA130972 CTW130972 DDS130972 DNO130972 DXK130972 EHG130972 ERC130972 FAY130972 FKU130972 FUQ130972 GEM130972 GOI130972 GYE130972 HIA130972 HRW130972 IBS130972 ILO130972 IVK130972 JFG130972 JPC130972 JYY130972 KIU130972 KSQ130972 LCM130972 LMI130972 LWE130972 MGA130972 MPW130972 MZS130972 NJO130972 NTK130972 ODG130972 ONC130972 OWY130972 PGU130972 PQQ130972 QAM130972 QKI130972 QUE130972 REA130972 RNW130972 RXS130972 SHO130972 SRK130972 TBG130972 TLC130972 TUY130972 UEU130972 UOQ130972 UYM130972 VII130972 VSE130972 WCA130972 WLW130972 WVS130972 K196508 JG196508 TC196508 ACY196508 AMU196508 AWQ196508 BGM196508 BQI196508 CAE196508 CKA196508 CTW196508 DDS196508 DNO196508 DXK196508 EHG196508 ERC196508 FAY196508 FKU196508 FUQ196508 GEM196508 GOI196508 GYE196508 HIA196508 HRW196508 IBS196508 ILO196508 IVK196508 JFG196508 JPC196508 JYY196508 KIU196508 KSQ196508 LCM196508 LMI196508 LWE196508 MGA196508 MPW196508 MZS196508 NJO196508 NTK196508 ODG196508 ONC196508 OWY196508 PGU196508 PQQ196508 QAM196508 QKI196508 QUE196508 REA196508 RNW196508 RXS196508 SHO196508 SRK196508 TBG196508 TLC196508 TUY196508 UEU196508 UOQ196508 UYM196508 VII196508 VSE196508 WCA196508 WLW196508 WVS196508 K262044 JG262044 TC262044 ACY262044 AMU262044 AWQ262044 BGM262044 BQI262044 CAE262044 CKA262044 CTW262044 DDS262044 DNO262044 DXK262044 EHG262044 ERC262044 FAY262044 FKU262044 FUQ262044 GEM262044 GOI262044 GYE262044 HIA262044 HRW262044 IBS262044 ILO262044 IVK262044 JFG262044 JPC262044 JYY262044 KIU262044 KSQ262044 LCM262044 LMI262044 LWE262044 MGA262044 MPW262044 MZS262044 NJO262044 NTK262044 ODG262044 ONC262044 OWY262044 PGU262044 PQQ262044 QAM262044 QKI262044 QUE262044 REA262044 RNW262044 RXS262044 SHO262044 SRK262044 TBG262044 TLC262044 TUY262044 UEU262044 UOQ262044 UYM262044 VII262044 VSE262044 WCA262044 WLW262044 WVS262044 K327580 JG327580 TC327580 ACY327580 AMU327580 AWQ327580 BGM327580 BQI327580 CAE327580 CKA327580 CTW327580 DDS327580 DNO327580 DXK327580 EHG327580 ERC327580 FAY327580 FKU327580 FUQ327580 GEM327580 GOI327580 GYE327580 HIA327580 HRW327580 IBS327580 ILO327580 IVK327580 JFG327580 JPC327580 JYY327580 KIU327580 KSQ327580 LCM327580 LMI327580 LWE327580 MGA327580 MPW327580 MZS327580 NJO327580 NTK327580 ODG327580 ONC327580 OWY327580 PGU327580 PQQ327580 QAM327580 QKI327580 QUE327580 REA327580 RNW327580 RXS327580 SHO327580 SRK327580 TBG327580 TLC327580 TUY327580 UEU327580 UOQ327580 UYM327580 VII327580 VSE327580 WCA327580 WLW327580 WVS327580 K393116 JG393116 TC393116 ACY393116 AMU393116 AWQ393116 BGM393116 BQI393116 CAE393116 CKA393116 CTW393116 DDS393116 DNO393116 DXK393116 EHG393116 ERC393116 FAY393116 FKU393116 FUQ393116 GEM393116 GOI393116 GYE393116 HIA393116 HRW393116 IBS393116 ILO393116 IVK393116 JFG393116 JPC393116 JYY393116 KIU393116 KSQ393116 LCM393116 LMI393116 LWE393116 MGA393116 MPW393116 MZS393116 NJO393116 NTK393116 ODG393116 ONC393116 OWY393116 PGU393116 PQQ393116 QAM393116 QKI393116 QUE393116 REA393116 RNW393116 RXS393116 SHO393116 SRK393116 TBG393116 TLC393116 TUY393116 UEU393116 UOQ393116 UYM393116 VII393116 VSE393116 WCA393116 WLW393116 WVS393116 K458652 JG458652 TC458652 ACY458652 AMU458652 AWQ458652 BGM458652 BQI458652 CAE458652 CKA458652 CTW458652 DDS458652 DNO458652 DXK458652 EHG458652 ERC458652 FAY458652 FKU458652 FUQ458652 GEM458652 GOI458652 GYE458652 HIA458652 HRW458652 IBS458652 ILO458652 IVK458652 JFG458652 JPC458652 JYY458652 KIU458652 KSQ458652 LCM458652 LMI458652 LWE458652 MGA458652 MPW458652 MZS458652 NJO458652 NTK458652 ODG458652 ONC458652 OWY458652 PGU458652 PQQ458652 QAM458652 QKI458652 QUE458652 REA458652 RNW458652 RXS458652 SHO458652 SRK458652 TBG458652 TLC458652 TUY458652 UEU458652 UOQ458652 UYM458652 VII458652 VSE458652 WCA458652 WLW458652 WVS458652 K524188 JG524188 TC524188 ACY524188 AMU524188 AWQ524188 BGM524188 BQI524188 CAE524188 CKA524188 CTW524188 DDS524188 DNO524188 DXK524188 EHG524188 ERC524188 FAY524188 FKU524188 FUQ524188 GEM524188 GOI524188 GYE524188 HIA524188 HRW524188 IBS524188 ILO524188 IVK524188 JFG524188 JPC524188 JYY524188 KIU524188 KSQ524188 LCM524188 LMI524188 LWE524188 MGA524188 MPW524188 MZS524188 NJO524188 NTK524188 ODG524188 ONC524188 OWY524188 PGU524188 PQQ524188 QAM524188 QKI524188 QUE524188 REA524188 RNW524188 RXS524188 SHO524188 SRK524188 TBG524188 TLC524188 TUY524188 UEU524188 UOQ524188 UYM524188 VII524188 VSE524188 WCA524188 WLW524188 WVS524188 K589724 JG589724 TC589724 ACY589724 AMU589724 AWQ589724 BGM589724 BQI589724 CAE589724 CKA589724 CTW589724 DDS589724 DNO589724 DXK589724 EHG589724 ERC589724 FAY589724 FKU589724 FUQ589724 GEM589724 GOI589724 GYE589724 HIA589724 HRW589724 IBS589724 ILO589724 IVK589724 JFG589724 JPC589724 JYY589724 KIU589724 KSQ589724 LCM589724 LMI589724 LWE589724 MGA589724 MPW589724 MZS589724 NJO589724 NTK589724 ODG589724 ONC589724 OWY589724 PGU589724 PQQ589724 QAM589724 QKI589724 QUE589724 REA589724 RNW589724 RXS589724 SHO589724 SRK589724 TBG589724 TLC589724 TUY589724 UEU589724 UOQ589724 UYM589724 VII589724 VSE589724 WCA589724 WLW589724 WVS589724 K655260 JG655260 TC655260 ACY655260 AMU655260 AWQ655260 BGM655260 BQI655260 CAE655260 CKA655260 CTW655260 DDS655260 DNO655260 DXK655260 EHG655260 ERC655260 FAY655260 FKU655260 FUQ655260 GEM655260 GOI655260 GYE655260 HIA655260 HRW655260 IBS655260 ILO655260 IVK655260 JFG655260 JPC655260 JYY655260 KIU655260 KSQ655260 LCM655260 LMI655260 LWE655260 MGA655260 MPW655260 MZS655260 NJO655260 NTK655260 ODG655260 ONC655260 OWY655260 PGU655260 PQQ655260 QAM655260 QKI655260 QUE655260 REA655260 RNW655260 RXS655260 SHO655260 SRK655260 TBG655260 TLC655260 TUY655260 UEU655260 UOQ655260 UYM655260 VII655260 VSE655260 WCA655260 WLW655260 WVS655260 K720796 JG720796 TC720796 ACY720796 AMU720796 AWQ720796 BGM720796 BQI720796 CAE720796 CKA720796 CTW720796 DDS720796 DNO720796 DXK720796 EHG720796 ERC720796 FAY720796 FKU720796 FUQ720796 GEM720796 GOI720796 GYE720796 HIA720796 HRW720796 IBS720796 ILO720796 IVK720796 JFG720796 JPC720796 JYY720796 KIU720796 KSQ720796 LCM720796 LMI720796 LWE720796 MGA720796 MPW720796 MZS720796 NJO720796 NTK720796 ODG720796 ONC720796 OWY720796 PGU720796 PQQ720796 QAM720796 QKI720796 QUE720796 REA720796 RNW720796 RXS720796 SHO720796 SRK720796 TBG720796 TLC720796 TUY720796 UEU720796 UOQ720796 UYM720796 VII720796 VSE720796 WCA720796 WLW720796 WVS720796 K786332 JG786332 TC786332 ACY786332 AMU786332 AWQ786332 BGM786332 BQI786332 CAE786332 CKA786332 CTW786332 DDS786332 DNO786332 DXK786332 EHG786332 ERC786332 FAY786332 FKU786332 FUQ786332 GEM786332 GOI786332 GYE786332 HIA786332 HRW786332 IBS786332 ILO786332 IVK786332 JFG786332 JPC786332 JYY786332 KIU786332 KSQ786332 LCM786332 LMI786332 LWE786332 MGA786332 MPW786332 MZS786332 NJO786332 NTK786332 ODG786332 ONC786332 OWY786332 PGU786332 PQQ786332 QAM786332 QKI786332 QUE786332 REA786332 RNW786332 RXS786332 SHO786332 SRK786332 TBG786332 TLC786332 TUY786332 UEU786332 UOQ786332 UYM786332 VII786332 VSE786332 WCA786332 WLW786332 WVS786332 K851868 JG851868 TC851868 ACY851868 AMU851868 AWQ851868 BGM851868 BQI851868 CAE851868 CKA851868 CTW851868 DDS851868 DNO851868 DXK851868 EHG851868 ERC851868 FAY851868 FKU851868 FUQ851868 GEM851868 GOI851868 GYE851868 HIA851868 HRW851868 IBS851868 ILO851868 IVK851868 JFG851868 JPC851868 JYY851868 KIU851868 KSQ851868 LCM851868 LMI851868 LWE851868 MGA851868 MPW851868 MZS851868 NJO851868 NTK851868 ODG851868 ONC851868 OWY851868 PGU851868 PQQ851868 QAM851868 QKI851868 QUE851868 REA851868 RNW851868 RXS851868 SHO851868 SRK851868 TBG851868 TLC851868 TUY851868 UEU851868 UOQ851868 UYM851868 VII851868 VSE851868 WCA851868 WLW851868 WVS851868 K917404 JG917404 TC917404 ACY917404 AMU917404 AWQ917404 BGM917404 BQI917404 CAE917404 CKA917404 CTW917404 DDS917404 DNO917404 DXK917404 EHG917404 ERC917404 FAY917404 FKU917404 FUQ917404 GEM917404 GOI917404 GYE917404 HIA917404 HRW917404 IBS917404 ILO917404 IVK917404 JFG917404 JPC917404 JYY917404 KIU917404 KSQ917404 LCM917404 LMI917404 LWE917404 MGA917404 MPW917404 MZS917404 NJO917404 NTK917404 ODG917404 ONC917404 OWY917404 PGU917404 PQQ917404 QAM917404 QKI917404 QUE917404 REA917404 RNW917404 RXS917404 SHO917404 SRK917404 TBG917404 TLC917404 TUY917404 UEU917404 UOQ917404 UYM917404 VII917404 VSE917404 WCA917404 WLW917404 WVS917404 K982940 JG982940 TC982940 ACY982940 AMU982940 AWQ982940 BGM982940 BQI982940 CAE982940 CKA982940 CTW982940 DDS982940 DNO982940 DXK982940 EHG982940 ERC982940 FAY982940 FKU982940 FUQ982940 GEM982940 GOI982940 GYE982940 HIA982940 HRW982940 IBS982940 ILO982940 IVK982940 JFG982940 JPC982940 JYY982940 KIU982940 KSQ982940 LCM982940 LMI982940 LWE982940 MGA982940 MPW982940 MZS982940 NJO982940 NTK982940 ODG982940 ONC982940 OWY982940 PGU982940 PQQ982940 QAM982940 QKI982940 QUE982940 REA982940 RNW982940 RXS982940 SHO982940 SRK982940 TBG982940 TLC982940 TUY982940 UEU982940 UOQ982940 UYM982940 VII982940 VSE982940 WCA982940 WLW982940 WVS982940">
      <formula1>$CF$42:$CF$46</formula1>
    </dataValidation>
  </dataValidations>
  <pageMargins left="0" right="0" top="0" bottom="0" header="0" footer="0"/>
  <pageSetup paperSize="9" scale="85" orientation="landscape" r:id="rId1"/>
  <headerFooter alignWithMargins="0"/>
  <colBreaks count="3" manualBreakCount="3">
    <brk id="12" max="42" man="1"/>
    <brk id="28" max="42" man="1"/>
    <brk id="83" max="42"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7</vt:i4>
      </vt:variant>
      <vt:variant>
        <vt:lpstr>Именованные диапазоны</vt:lpstr>
      </vt:variant>
      <vt:variant>
        <vt:i4>1</vt:i4>
      </vt:variant>
    </vt:vector>
  </HeadingPairs>
  <TitlesOfParts>
    <vt:vector size="8" baseType="lpstr">
      <vt:lpstr>Техданные</vt:lpstr>
      <vt:lpstr>Расчет</vt:lpstr>
      <vt:lpstr>Оценка сетки</vt:lpstr>
      <vt:lpstr>Оценка лазера</vt:lpstr>
      <vt:lpstr>Оценка фрезеровки</vt:lpstr>
      <vt:lpstr>Прайс Лазер</vt:lpstr>
      <vt:lpstr>СПЕЦИФИКАЦИЯ ПРОЕКТА</vt:lpstr>
      <vt:lpstr>'СПЕЦИФИКАЦИЯ ПРОЕКТА'!Область_печати</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Пользователь</dc:creator>
  <cp:lastModifiedBy>Пользователь</cp:lastModifiedBy>
  <dcterms:created xsi:type="dcterms:W3CDTF">2021-03-18T06:19:29Z</dcterms:created>
  <dcterms:modified xsi:type="dcterms:W3CDTF">2024-09-09T06:12:16Z</dcterms:modified>
</cp:coreProperties>
</file>