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smin\Dropbox\GLUE CHIM 2\CB Experiments\"/>
    </mc:Choice>
  </mc:AlternateContent>
  <xr:revisionPtr revIDLastSave="0" documentId="13_ncr:1_{AB57FED6-A85D-40B6-A60B-D5739B38C16E}" xr6:coauthVersionLast="45" xr6:coauthVersionMax="45" xr10:uidLastSave="{00000000-0000-0000-0000-000000000000}"/>
  <bookViews>
    <workbookView xWindow="-75" yWindow="1620" windowWidth="16275" windowHeight="26715" xr2:uid="{06B03E15-6B4F-4C41-BB1F-068EF8E7989E}"/>
  </bookViews>
  <sheets>
    <sheet name="Raw Data" sheetId="1" r:id="rId1"/>
    <sheet name="Pivot Table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I126" i="1"/>
  <c r="I125" i="1"/>
  <c r="D21" i="1" l="1"/>
  <c r="I124" i="1"/>
  <c r="D28" i="1"/>
  <c r="D27" i="1"/>
  <c r="I122" i="1"/>
  <c r="I121" i="1"/>
  <c r="D30" i="1" l="1"/>
  <c r="D29" i="1"/>
  <c r="D31" i="1"/>
  <c r="D26" i="1"/>
  <c r="I120" i="1"/>
  <c r="I119" i="1"/>
  <c r="I118" i="1"/>
  <c r="I117" i="1"/>
  <c r="D24" i="1" l="1"/>
  <c r="D23" i="1"/>
  <c r="I116" i="1"/>
  <c r="I115" i="1"/>
  <c r="D25" i="1" l="1"/>
  <c r="I114" i="1"/>
  <c r="D22" i="1"/>
  <c r="I113" i="1"/>
  <c r="D105" i="1" l="1"/>
  <c r="D104" i="1"/>
  <c r="D87" i="1"/>
  <c r="D86" i="1"/>
  <c r="D81" i="1"/>
  <c r="D80" i="1"/>
  <c r="I112" i="1"/>
  <c r="I111" i="1"/>
  <c r="I110" i="1"/>
  <c r="I109" i="1"/>
  <c r="I108" i="1"/>
  <c r="I107" i="1"/>
  <c r="D82" i="1" l="1"/>
  <c r="I106" i="1"/>
  <c r="D106" i="1" l="1"/>
  <c r="I105" i="1"/>
  <c r="D103" i="1"/>
  <c r="D102" i="1"/>
  <c r="D85" i="1"/>
  <c r="D84" i="1"/>
  <c r="D79" i="1"/>
  <c r="D78" i="1"/>
  <c r="D101" i="1"/>
  <c r="D83" i="1"/>
  <c r="D77" i="1"/>
  <c r="I104" i="1"/>
  <c r="I103" i="1"/>
  <c r="I102" i="1"/>
  <c r="I101" i="1"/>
  <c r="I100" i="1"/>
  <c r="I99" i="1"/>
  <c r="I98" i="1"/>
  <c r="I97" i="1"/>
  <c r="I96" i="1"/>
  <c r="D88" i="1"/>
  <c r="I95" i="1"/>
  <c r="D96" i="1" l="1"/>
  <c r="D89" i="1"/>
  <c r="I94" i="1"/>
  <c r="I93" i="1"/>
  <c r="D92" i="1" l="1"/>
  <c r="D99" i="1"/>
  <c r="D93" i="1"/>
  <c r="D94" i="1"/>
  <c r="I92" i="1"/>
  <c r="I91" i="1"/>
  <c r="I90" i="1"/>
  <c r="I89" i="1"/>
  <c r="D100" i="1"/>
  <c r="I88" i="1"/>
  <c r="D95" i="1" l="1"/>
  <c r="I87" i="1"/>
  <c r="D97" i="1" l="1"/>
  <c r="D98" i="1"/>
  <c r="D90" i="1"/>
  <c r="D91" i="1"/>
  <c r="I86" i="1"/>
  <c r="I85" i="1"/>
  <c r="I84" i="1"/>
  <c r="I83" i="1"/>
  <c r="I82" i="1" l="1"/>
  <c r="I81" i="1"/>
  <c r="D52" i="1" l="1"/>
  <c r="I78" i="1"/>
  <c r="I77" i="1"/>
  <c r="D125" i="1"/>
  <c r="D54" i="1" l="1"/>
  <c r="I75" i="1"/>
  <c r="D49" i="1" l="1"/>
  <c r="I74" i="1"/>
  <c r="D46" i="1" l="1"/>
  <c r="I73" i="1"/>
  <c r="I72" i="1" l="1"/>
  <c r="I71" i="1"/>
  <c r="D48" i="1" l="1"/>
  <c r="I70" i="1"/>
  <c r="I67" i="1" l="1"/>
  <c r="D42" i="1"/>
  <c r="I66" i="1" l="1"/>
  <c r="I65" i="1"/>
  <c r="I64" i="1"/>
  <c r="I63" i="1"/>
  <c r="D38" i="1"/>
  <c r="D39" i="1"/>
  <c r="D35" i="1"/>
  <c r="D34" i="1"/>
  <c r="I61" i="1" l="1"/>
  <c r="D56" i="1"/>
  <c r="I57" i="1" l="1"/>
  <c r="I56" i="1"/>
  <c r="I55" i="1"/>
  <c r="I54" i="1"/>
  <c r="I53" i="1"/>
  <c r="I52" i="1"/>
  <c r="I51" i="1"/>
  <c r="I50" i="1"/>
  <c r="I49" i="1"/>
  <c r="I48" i="1"/>
  <c r="I47" i="1"/>
  <c r="I46" i="1"/>
  <c r="I33" i="1"/>
  <c r="I32" i="1"/>
  <c r="I31" i="1"/>
  <c r="I27" i="1"/>
  <c r="I26" i="1"/>
  <c r="I23" i="1"/>
  <c r="I22" i="1"/>
  <c r="I20" i="1"/>
  <c r="D19" i="1" l="1"/>
  <c r="D20" i="1"/>
  <c r="D69" i="1"/>
  <c r="D68" i="1"/>
  <c r="D37" i="1"/>
  <c r="D36" i="1"/>
  <c r="D75" i="1"/>
  <c r="D74" i="1"/>
  <c r="D40" i="1"/>
  <c r="D41" i="1"/>
  <c r="D63" i="1"/>
  <c r="D62" i="1"/>
  <c r="D67" i="1" l="1"/>
  <c r="D73" i="1"/>
  <c r="D72" i="1"/>
  <c r="D66" i="1"/>
  <c r="D64" i="1" l="1"/>
  <c r="D110" i="1" l="1"/>
  <c r="D112" i="1"/>
  <c r="D111" i="1" l="1"/>
</calcChain>
</file>

<file path=xl/sharedStrings.xml><?xml version="1.0" encoding="utf-8"?>
<sst xmlns="http://schemas.openxmlformats.org/spreadsheetml/2006/main" count="588" uniqueCount="71">
  <si>
    <t>DPN47</t>
  </si>
  <si>
    <t>D3/3</t>
  </si>
  <si>
    <t>N/mm2</t>
  </si>
  <si>
    <t>D3/1</t>
  </si>
  <si>
    <t>test</t>
  </si>
  <si>
    <t>adeziv</t>
  </si>
  <si>
    <t>D4/5</t>
  </si>
  <si>
    <t>WATT</t>
  </si>
  <si>
    <t>CB04</t>
  </si>
  <si>
    <t>GXL4+CB03</t>
  </si>
  <si>
    <t>CB03</t>
  </si>
  <si>
    <t>Grand Total</t>
  </si>
  <si>
    <t>RAKOLL GXL4</t>
  </si>
  <si>
    <t>Tests meaning:</t>
  </si>
  <si>
    <t>16h</t>
  </si>
  <si>
    <t>press time</t>
  </si>
  <si>
    <t>stay at room temp</t>
  </si>
  <si>
    <t>7 days</t>
  </si>
  <si>
    <t>4 days in cold water</t>
  </si>
  <si>
    <t>D4/1</t>
  </si>
  <si>
    <t>6h in boiling water</t>
  </si>
  <si>
    <t>2h in cold water</t>
  </si>
  <si>
    <t>80deg C 2h</t>
  </si>
  <si>
    <t>environment conditions</t>
  </si>
  <si>
    <t>unglued</t>
  </si>
  <si>
    <t>Conditions for EN205</t>
  </si>
  <si>
    <t>Serie</t>
  </si>
  <si>
    <t>Conditions</t>
  </si>
  <si>
    <t>7 days at standard conditions</t>
  </si>
  <si>
    <t>3h in cold water</t>
  </si>
  <si>
    <t>D1</t>
  </si>
  <si>
    <t>D2</t>
  </si>
  <si>
    <t>D3</t>
  </si>
  <si>
    <t>D4</t>
  </si>
  <si>
    <t>Adhesive strength N/mm^2</t>
  </si>
  <si>
    <t>≥ 10</t>
  </si>
  <si>
    <t>≥ 8</t>
  </si>
  <si>
    <t>≥ 2</t>
  </si>
  <si>
    <t>≥ 4</t>
  </si>
  <si>
    <t xml:space="preserve"> - </t>
  </si>
  <si>
    <t>Niminum values for adhesive strength</t>
  </si>
  <si>
    <t>Wacker</t>
  </si>
  <si>
    <t>ours</t>
  </si>
  <si>
    <t>Rakoll</t>
  </si>
  <si>
    <t>Rakoll + ours</t>
  </si>
  <si>
    <t>adhesive</t>
  </si>
  <si>
    <t>manufacturer</t>
  </si>
  <si>
    <t>Conditions for IOS-MAT-0134</t>
  </si>
  <si>
    <t>≥ 5</t>
  </si>
  <si>
    <t>≥ 6</t>
  </si>
  <si>
    <t xml:space="preserve">≥ 2 </t>
  </si>
  <si>
    <t>C3</t>
  </si>
  <si>
    <t>C4</t>
  </si>
  <si>
    <r>
      <t xml:space="preserve">72 ± 1 hours </t>
    </r>
    <r>
      <rPr>
        <sz val="8"/>
        <color theme="1"/>
        <rFont val="Calibri"/>
        <family val="2"/>
        <scheme val="minor"/>
      </rPr>
      <t>at</t>
    </r>
    <r>
      <rPr>
        <sz val="11"/>
        <color theme="1"/>
        <rFont val="Calibri"/>
        <family val="2"/>
        <scheme val="minor"/>
      </rPr>
      <t xml:space="preserve">                                45 ± 2 deg C </t>
    </r>
    <r>
      <rPr>
        <sz val="8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                           90 ± 5 % relative humidity</t>
    </r>
  </si>
  <si>
    <t>Danafix 446</t>
  </si>
  <si>
    <t>Observations:</t>
  </si>
  <si>
    <t>Danafix 446 - WATT - at 140 kgf - starts to slide - high elasticity glue</t>
  </si>
  <si>
    <t>CB04.2</t>
  </si>
  <si>
    <t>148.1.2</t>
  </si>
  <si>
    <t>146.1.2</t>
  </si>
  <si>
    <t>3050+MDI</t>
  </si>
  <si>
    <t>data</t>
  </si>
  <si>
    <t>Max of N/mm2</t>
  </si>
  <si>
    <t>148.1.3</t>
  </si>
  <si>
    <t>wood failure[%]</t>
  </si>
  <si>
    <t>148.1.4</t>
  </si>
  <si>
    <t>CB07.1</t>
  </si>
  <si>
    <t>CB08.1</t>
  </si>
  <si>
    <t>CB06.2</t>
  </si>
  <si>
    <t>CB06.1</t>
  </si>
  <si>
    <t>CB09.1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</si>
</sst>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[$-409]d/mmm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26" xfId="0" applyBorder="1"/>
    <xf numFmtId="0" fontId="4" fillId="0" borderId="27" xfId="0" applyFon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0" fillId="0" borderId="16" xfId="0" applyBorder="1"/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2" fontId="2" fillId="0" borderId="0" xfId="0" applyNumberFormat="1" applyFont="1"/>
    <xf numFmtId="16" fontId="0" fillId="0" borderId="0" xfId="0" applyNumberForma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5">
    <dxf>
      <numFmt numFmtId="2" formatCode="0.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2" formatCode="0.00"/>
    </dxf>
    <dxf>
      <numFmt numFmtId="165" formatCode="[$-409]d/mmm;@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[shear test D3 D4 WATT.xlsx]Pivot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Shear</a:t>
            </a:r>
            <a:r>
              <a:rPr lang="en-US" baseline="0"/>
              <a:t> Stress Values N / mm^2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D3/1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Table'!$A$5:$A$30</c:f>
              <c:strCache>
                <c:ptCount val="25"/>
                <c:pt idx="0">
                  <c:v>140.1</c:v>
                </c:pt>
                <c:pt idx="1">
                  <c:v>142.1</c:v>
                </c:pt>
                <c:pt idx="2">
                  <c:v>143.1</c:v>
                </c:pt>
                <c:pt idx="3">
                  <c:v>148.1</c:v>
                </c:pt>
                <c:pt idx="4">
                  <c:v>149.1</c:v>
                </c:pt>
                <c:pt idx="5">
                  <c:v>150.1</c:v>
                </c:pt>
                <c:pt idx="6">
                  <c:v>315.6</c:v>
                </c:pt>
                <c:pt idx="7">
                  <c:v>3153.6</c:v>
                </c:pt>
                <c:pt idx="8">
                  <c:v>146.1.2</c:v>
                </c:pt>
                <c:pt idx="9">
                  <c:v>148.1.2</c:v>
                </c:pt>
                <c:pt idx="10">
                  <c:v>148.1.3</c:v>
                </c:pt>
                <c:pt idx="11">
                  <c:v>148.1.4</c:v>
                </c:pt>
                <c:pt idx="12">
                  <c:v>3050+MDI</c:v>
                </c:pt>
                <c:pt idx="13">
                  <c:v>CB03</c:v>
                </c:pt>
                <c:pt idx="14">
                  <c:v>CB04</c:v>
                </c:pt>
                <c:pt idx="15">
                  <c:v>CB04.2</c:v>
                </c:pt>
                <c:pt idx="16">
                  <c:v>CB06.1</c:v>
                </c:pt>
                <c:pt idx="17">
                  <c:v>CB06.2</c:v>
                </c:pt>
                <c:pt idx="18">
                  <c:v>CB07.1</c:v>
                </c:pt>
                <c:pt idx="19">
                  <c:v>CB08.1</c:v>
                </c:pt>
                <c:pt idx="20">
                  <c:v>CB09.1</c:v>
                </c:pt>
                <c:pt idx="21">
                  <c:v>Danafix 446</c:v>
                </c:pt>
                <c:pt idx="22">
                  <c:v>DPN47</c:v>
                </c:pt>
                <c:pt idx="23">
                  <c:v>GXL4+CB03</c:v>
                </c:pt>
                <c:pt idx="24">
                  <c:v>RAKOLL GXL4</c:v>
                </c:pt>
              </c:strCache>
            </c:strRef>
          </c:cat>
          <c:val>
            <c:numRef>
              <c:f>'Pivot Table'!$B$5:$B$30</c:f>
              <c:numCache>
                <c:formatCode>0.00</c:formatCode>
                <c:ptCount val="25"/>
                <c:pt idx="0">
                  <c:v>14.75</c:v>
                </c:pt>
                <c:pt idx="1">
                  <c:v>12.7</c:v>
                </c:pt>
                <c:pt idx="2">
                  <c:v>14.5</c:v>
                </c:pt>
                <c:pt idx="3">
                  <c:v>13.4</c:v>
                </c:pt>
                <c:pt idx="4">
                  <c:v>13.534883720930232</c:v>
                </c:pt>
                <c:pt idx="5">
                  <c:v>14.009433962264151</c:v>
                </c:pt>
                <c:pt idx="10">
                  <c:v>13.6</c:v>
                </c:pt>
                <c:pt idx="11">
                  <c:v>12.593357699030669</c:v>
                </c:pt>
                <c:pt idx="14">
                  <c:v>14.6</c:v>
                </c:pt>
                <c:pt idx="16">
                  <c:v>12.49639527059502</c:v>
                </c:pt>
                <c:pt idx="17">
                  <c:v>15.230261671261355</c:v>
                </c:pt>
                <c:pt idx="18">
                  <c:v>13.1</c:v>
                </c:pt>
                <c:pt idx="19">
                  <c:v>12.182122734886555</c:v>
                </c:pt>
                <c:pt idx="20">
                  <c:v>11.488884737530357</c:v>
                </c:pt>
                <c:pt idx="21">
                  <c:v>16.2</c:v>
                </c:pt>
                <c:pt idx="22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F-4856-8F5D-7CE982905B0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D3/3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Table'!$A$5:$A$30</c:f>
              <c:strCache>
                <c:ptCount val="25"/>
                <c:pt idx="0">
                  <c:v>140.1</c:v>
                </c:pt>
                <c:pt idx="1">
                  <c:v>142.1</c:v>
                </c:pt>
                <c:pt idx="2">
                  <c:v>143.1</c:v>
                </c:pt>
                <c:pt idx="3">
                  <c:v>148.1</c:v>
                </c:pt>
                <c:pt idx="4">
                  <c:v>149.1</c:v>
                </c:pt>
                <c:pt idx="5">
                  <c:v>150.1</c:v>
                </c:pt>
                <c:pt idx="6">
                  <c:v>315.6</c:v>
                </c:pt>
                <c:pt idx="7">
                  <c:v>3153.6</c:v>
                </c:pt>
                <c:pt idx="8">
                  <c:v>146.1.2</c:v>
                </c:pt>
                <c:pt idx="9">
                  <c:v>148.1.2</c:v>
                </c:pt>
                <c:pt idx="10">
                  <c:v>148.1.3</c:v>
                </c:pt>
                <c:pt idx="11">
                  <c:v>148.1.4</c:v>
                </c:pt>
                <c:pt idx="12">
                  <c:v>3050+MDI</c:v>
                </c:pt>
                <c:pt idx="13">
                  <c:v>CB03</c:v>
                </c:pt>
                <c:pt idx="14">
                  <c:v>CB04</c:v>
                </c:pt>
                <c:pt idx="15">
                  <c:v>CB04.2</c:v>
                </c:pt>
                <c:pt idx="16">
                  <c:v>CB06.1</c:v>
                </c:pt>
                <c:pt idx="17">
                  <c:v>CB06.2</c:v>
                </c:pt>
                <c:pt idx="18">
                  <c:v>CB07.1</c:v>
                </c:pt>
                <c:pt idx="19">
                  <c:v>CB08.1</c:v>
                </c:pt>
                <c:pt idx="20">
                  <c:v>CB09.1</c:v>
                </c:pt>
                <c:pt idx="21">
                  <c:v>Danafix 446</c:v>
                </c:pt>
                <c:pt idx="22">
                  <c:v>DPN47</c:v>
                </c:pt>
                <c:pt idx="23">
                  <c:v>GXL4+CB03</c:v>
                </c:pt>
                <c:pt idx="24">
                  <c:v>RAKOLL GXL4</c:v>
                </c:pt>
              </c:strCache>
            </c:strRef>
          </c:cat>
          <c:val>
            <c:numRef>
              <c:f>'Pivot Table'!$C$5:$C$30</c:f>
              <c:numCache>
                <c:formatCode>0.00</c:formatCode>
                <c:ptCount val="25"/>
                <c:pt idx="0">
                  <c:v>2.76</c:v>
                </c:pt>
                <c:pt idx="1">
                  <c:v>1.65</c:v>
                </c:pt>
                <c:pt idx="2">
                  <c:v>0.64</c:v>
                </c:pt>
                <c:pt idx="3">
                  <c:v>2.0114942528735633</c:v>
                </c:pt>
                <c:pt idx="5">
                  <c:v>3.8679245283018866</c:v>
                </c:pt>
                <c:pt idx="7">
                  <c:v>0.33</c:v>
                </c:pt>
                <c:pt idx="8">
                  <c:v>1.3370473537604457</c:v>
                </c:pt>
                <c:pt idx="9">
                  <c:v>1.7827820783485808</c:v>
                </c:pt>
                <c:pt idx="10">
                  <c:v>3.7603847835592483</c:v>
                </c:pt>
                <c:pt idx="11">
                  <c:v>5.2836484983314795</c:v>
                </c:pt>
                <c:pt idx="12">
                  <c:v>0.34883720930232559</c:v>
                </c:pt>
                <c:pt idx="13">
                  <c:v>0.65</c:v>
                </c:pt>
                <c:pt idx="14">
                  <c:v>3.9087599057614053</c:v>
                </c:pt>
                <c:pt idx="15">
                  <c:v>5.782822874277147</c:v>
                </c:pt>
                <c:pt idx="16">
                  <c:v>0.24031529366528886</c:v>
                </c:pt>
                <c:pt idx="17">
                  <c:v>2.8476298957329362</c:v>
                </c:pt>
                <c:pt idx="18">
                  <c:v>3.65</c:v>
                </c:pt>
                <c:pt idx="19">
                  <c:v>3.1313131313131315</c:v>
                </c:pt>
                <c:pt idx="20">
                  <c:v>3.6428171118998693</c:v>
                </c:pt>
                <c:pt idx="21">
                  <c:v>2.98</c:v>
                </c:pt>
                <c:pt idx="22">
                  <c:v>0.28999999999999998</c:v>
                </c:pt>
                <c:pt idx="23">
                  <c:v>0.56999999999999995</c:v>
                </c:pt>
                <c:pt idx="24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F-4856-8F5D-7CE982905B0F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D4/5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Table'!$A$5:$A$30</c:f>
              <c:strCache>
                <c:ptCount val="25"/>
                <c:pt idx="0">
                  <c:v>140.1</c:v>
                </c:pt>
                <c:pt idx="1">
                  <c:v>142.1</c:v>
                </c:pt>
                <c:pt idx="2">
                  <c:v>143.1</c:v>
                </c:pt>
                <c:pt idx="3">
                  <c:v>148.1</c:v>
                </c:pt>
                <c:pt idx="4">
                  <c:v>149.1</c:v>
                </c:pt>
                <c:pt idx="5">
                  <c:v>150.1</c:v>
                </c:pt>
                <c:pt idx="6">
                  <c:v>315.6</c:v>
                </c:pt>
                <c:pt idx="7">
                  <c:v>3153.6</c:v>
                </c:pt>
                <c:pt idx="8">
                  <c:v>146.1.2</c:v>
                </c:pt>
                <c:pt idx="9">
                  <c:v>148.1.2</c:v>
                </c:pt>
                <c:pt idx="10">
                  <c:v>148.1.3</c:v>
                </c:pt>
                <c:pt idx="11">
                  <c:v>148.1.4</c:v>
                </c:pt>
                <c:pt idx="12">
                  <c:v>3050+MDI</c:v>
                </c:pt>
                <c:pt idx="13">
                  <c:v>CB03</c:v>
                </c:pt>
                <c:pt idx="14">
                  <c:v>CB04</c:v>
                </c:pt>
                <c:pt idx="15">
                  <c:v>CB04.2</c:v>
                </c:pt>
                <c:pt idx="16">
                  <c:v>CB06.1</c:v>
                </c:pt>
                <c:pt idx="17">
                  <c:v>CB06.2</c:v>
                </c:pt>
                <c:pt idx="18">
                  <c:v>CB07.1</c:v>
                </c:pt>
                <c:pt idx="19">
                  <c:v>CB08.1</c:v>
                </c:pt>
                <c:pt idx="20">
                  <c:v>CB09.1</c:v>
                </c:pt>
                <c:pt idx="21">
                  <c:v>Danafix 446</c:v>
                </c:pt>
                <c:pt idx="22">
                  <c:v>DPN47</c:v>
                </c:pt>
                <c:pt idx="23">
                  <c:v>GXL4+CB03</c:v>
                </c:pt>
                <c:pt idx="24">
                  <c:v>RAKOLL GXL4</c:v>
                </c:pt>
              </c:strCache>
            </c:strRef>
          </c:cat>
          <c:val>
            <c:numRef>
              <c:f>'Pivot Table'!$D$5:$D$30</c:f>
              <c:numCache>
                <c:formatCode>0.00</c:formatCode>
                <c:ptCount val="25"/>
                <c:pt idx="2">
                  <c:v>0.127</c:v>
                </c:pt>
                <c:pt idx="3">
                  <c:v>0.91433796216926677</c:v>
                </c:pt>
                <c:pt idx="4">
                  <c:v>2.4651162790697674</c:v>
                </c:pt>
                <c:pt idx="5">
                  <c:v>1.926605504587156</c:v>
                </c:pt>
                <c:pt idx="6">
                  <c:v>0</c:v>
                </c:pt>
                <c:pt idx="8">
                  <c:v>1.1142061281337048</c:v>
                </c:pt>
                <c:pt idx="9">
                  <c:v>1.4074595355383532</c:v>
                </c:pt>
                <c:pt idx="10">
                  <c:v>3.3668561434193269</c:v>
                </c:pt>
                <c:pt idx="11">
                  <c:v>3.06</c:v>
                </c:pt>
                <c:pt idx="12">
                  <c:v>0</c:v>
                </c:pt>
                <c:pt idx="13">
                  <c:v>0.44370493621741541</c:v>
                </c:pt>
                <c:pt idx="14">
                  <c:v>3.6954087346024638</c:v>
                </c:pt>
                <c:pt idx="15">
                  <c:v>3.6954087346024638</c:v>
                </c:pt>
                <c:pt idx="16">
                  <c:v>0.33478406427854035</c:v>
                </c:pt>
                <c:pt idx="17">
                  <c:v>1.2151215121512151</c:v>
                </c:pt>
                <c:pt idx="18">
                  <c:v>1.75</c:v>
                </c:pt>
                <c:pt idx="19">
                  <c:v>1.1674534287599614</c:v>
                </c:pt>
                <c:pt idx="20">
                  <c:v>1.6345974220063515</c:v>
                </c:pt>
                <c:pt idx="21">
                  <c:v>1.4423076923076923</c:v>
                </c:pt>
                <c:pt idx="22">
                  <c:v>0.34</c:v>
                </c:pt>
                <c:pt idx="23">
                  <c:v>2.44</c:v>
                </c:pt>
                <c:pt idx="24">
                  <c:v>1.5154576682158012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F-4856-8F5D-7CE982905B0F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WATT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Table'!$A$5:$A$30</c:f>
              <c:strCache>
                <c:ptCount val="25"/>
                <c:pt idx="0">
                  <c:v>140.1</c:v>
                </c:pt>
                <c:pt idx="1">
                  <c:v>142.1</c:v>
                </c:pt>
                <c:pt idx="2">
                  <c:v>143.1</c:v>
                </c:pt>
                <c:pt idx="3">
                  <c:v>148.1</c:v>
                </c:pt>
                <c:pt idx="4">
                  <c:v>149.1</c:v>
                </c:pt>
                <c:pt idx="5">
                  <c:v>150.1</c:v>
                </c:pt>
                <c:pt idx="6">
                  <c:v>315.6</c:v>
                </c:pt>
                <c:pt idx="7">
                  <c:v>3153.6</c:v>
                </c:pt>
                <c:pt idx="8">
                  <c:v>146.1.2</c:v>
                </c:pt>
                <c:pt idx="9">
                  <c:v>148.1.2</c:v>
                </c:pt>
                <c:pt idx="10">
                  <c:v>148.1.3</c:v>
                </c:pt>
                <c:pt idx="11">
                  <c:v>148.1.4</c:v>
                </c:pt>
                <c:pt idx="12">
                  <c:v>3050+MDI</c:v>
                </c:pt>
                <c:pt idx="13">
                  <c:v>CB03</c:v>
                </c:pt>
                <c:pt idx="14">
                  <c:v>CB04</c:v>
                </c:pt>
                <c:pt idx="15">
                  <c:v>CB04.2</c:v>
                </c:pt>
                <c:pt idx="16">
                  <c:v>CB06.1</c:v>
                </c:pt>
                <c:pt idx="17">
                  <c:v>CB06.2</c:v>
                </c:pt>
                <c:pt idx="18">
                  <c:v>CB07.1</c:v>
                </c:pt>
                <c:pt idx="19">
                  <c:v>CB08.1</c:v>
                </c:pt>
                <c:pt idx="20">
                  <c:v>CB09.1</c:v>
                </c:pt>
                <c:pt idx="21">
                  <c:v>Danafix 446</c:v>
                </c:pt>
                <c:pt idx="22">
                  <c:v>DPN47</c:v>
                </c:pt>
                <c:pt idx="23">
                  <c:v>GXL4+CB03</c:v>
                </c:pt>
                <c:pt idx="24">
                  <c:v>RAKOLL GXL4</c:v>
                </c:pt>
              </c:strCache>
            </c:strRef>
          </c:cat>
          <c:val>
            <c:numRef>
              <c:f>'Pivot Table'!$E$5:$E$30</c:f>
              <c:numCache>
                <c:formatCode>0.00</c:formatCode>
                <c:ptCount val="25"/>
                <c:pt idx="0">
                  <c:v>3.8</c:v>
                </c:pt>
                <c:pt idx="1">
                  <c:v>3.2</c:v>
                </c:pt>
                <c:pt idx="2">
                  <c:v>6.3</c:v>
                </c:pt>
                <c:pt idx="3">
                  <c:v>5.0881953867028491</c:v>
                </c:pt>
                <c:pt idx="4">
                  <c:v>5.3953488372093021</c:v>
                </c:pt>
                <c:pt idx="5">
                  <c:v>4.0654205607476639</c:v>
                </c:pt>
                <c:pt idx="9">
                  <c:v>5.489092188599578</c:v>
                </c:pt>
                <c:pt idx="10">
                  <c:v>7.3895933537385226</c:v>
                </c:pt>
                <c:pt idx="11">
                  <c:v>7.4288892420149368</c:v>
                </c:pt>
                <c:pt idx="13">
                  <c:v>7.8133361875200675</c:v>
                </c:pt>
                <c:pt idx="14">
                  <c:v>6.36</c:v>
                </c:pt>
                <c:pt idx="15">
                  <c:v>6.88</c:v>
                </c:pt>
                <c:pt idx="16">
                  <c:v>5.0456968773800455</c:v>
                </c:pt>
                <c:pt idx="17">
                  <c:v>6.3944676013641528</c:v>
                </c:pt>
                <c:pt idx="18">
                  <c:v>6.1</c:v>
                </c:pt>
                <c:pt idx="19">
                  <c:v>6.1925790569006649</c:v>
                </c:pt>
                <c:pt idx="20">
                  <c:v>5.7911451522510742</c:v>
                </c:pt>
                <c:pt idx="21">
                  <c:v>8.6538461538461533</c:v>
                </c:pt>
                <c:pt idx="22">
                  <c:v>5.0999999999999996</c:v>
                </c:pt>
                <c:pt idx="24">
                  <c:v>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F-4856-8F5D-7CE98290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714160"/>
        <c:axId val="481707640"/>
      </c:barChart>
      <c:catAx>
        <c:axId val="4787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07640"/>
        <c:crosses val="autoZero"/>
        <c:auto val="1"/>
        <c:lblAlgn val="ctr"/>
        <c:lblOffset val="100"/>
        <c:noMultiLvlLbl val="0"/>
      </c:catAx>
      <c:valAx>
        <c:axId val="4817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N/mm^2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1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628648</xdr:colOff>
      <xdr:row>2</xdr:row>
      <xdr:rowOff>0</xdr:rowOff>
    </xdr:from>
    <xdr:to>
      <xdr:col>28</xdr:col>
      <xdr:colOff>561974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3C506-D34A-42D9-8115-B2938A7B4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smin" refreshedDate="44064.534074884257" createdVersion="6" refreshedVersion="6" minRefreshableVersion="3" recordCount="125" xr:uid="{F2925AF0-5515-4FEB-8EDB-D3715AE81C5D}">
  <cacheSource type="worksheet">
    <worksheetSource name="Table1"/>
  </cacheSource>
  <cacheFields count="3">
    <cacheField name="adeziv" numFmtId="0">
      <sharedItems containsMixedTypes="1" containsNumber="1" minValue="140.1" maxValue="3153.6" count="25">
        <n v="140.1"/>
        <n v="142.1"/>
        <n v="143.1"/>
        <n v="148.1"/>
        <n v="149.1"/>
        <n v="150.1"/>
        <n v="315.60000000000002"/>
        <n v="3153.6"/>
        <s v="146.1.2"/>
        <s v="148.1.2"/>
        <s v="148.1.3"/>
        <s v="148.1.4"/>
        <s v="3050+MDI"/>
        <s v="CB03"/>
        <s v="CB04"/>
        <s v="CB04.2"/>
        <s v="CB06.1"/>
        <s v="CB06.2"/>
        <s v="CB07.1"/>
        <s v="CB08.1"/>
        <s v="CB09.1"/>
        <s v="Danafix 446"/>
        <s v="DPN47"/>
        <s v="GXL4+CB03"/>
        <s v="RAKOLL GXL4"/>
      </sharedItems>
    </cacheField>
    <cacheField name="test" numFmtId="0">
      <sharedItems count="4">
        <s v="D3/1"/>
        <s v="D3/3"/>
        <s v="WATT"/>
        <s v="D4/5"/>
      </sharedItems>
    </cacheField>
    <cacheField name="N/mm2" numFmtId="2">
      <sharedItems containsSemiMixedTypes="0" containsString="0" containsNumber="1" minValue="0" maxValue="1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n v="14.75"/>
  </r>
  <r>
    <x v="0"/>
    <x v="1"/>
    <n v="2.2999999999999998"/>
  </r>
  <r>
    <x v="0"/>
    <x v="1"/>
    <n v="2.76"/>
  </r>
  <r>
    <x v="0"/>
    <x v="2"/>
    <n v="3.8"/>
  </r>
  <r>
    <x v="1"/>
    <x v="0"/>
    <n v="12.7"/>
  </r>
  <r>
    <x v="1"/>
    <x v="1"/>
    <n v="1.57"/>
  </r>
  <r>
    <x v="1"/>
    <x v="1"/>
    <n v="1.65"/>
  </r>
  <r>
    <x v="1"/>
    <x v="2"/>
    <n v="3.2"/>
  </r>
  <r>
    <x v="2"/>
    <x v="0"/>
    <n v="14.5"/>
  </r>
  <r>
    <x v="2"/>
    <x v="1"/>
    <n v="0.6"/>
  </r>
  <r>
    <x v="2"/>
    <x v="1"/>
    <n v="0.64"/>
  </r>
  <r>
    <x v="2"/>
    <x v="3"/>
    <n v="0"/>
  </r>
  <r>
    <x v="2"/>
    <x v="3"/>
    <n v="0.127"/>
  </r>
  <r>
    <x v="2"/>
    <x v="2"/>
    <n v="6.3"/>
  </r>
  <r>
    <x v="3"/>
    <x v="0"/>
    <n v="13.4"/>
  </r>
  <r>
    <x v="3"/>
    <x v="1"/>
    <n v="1.6860465116279071"/>
  </r>
  <r>
    <x v="3"/>
    <x v="1"/>
    <n v="2.0114942528735633"/>
  </r>
  <r>
    <x v="3"/>
    <x v="3"/>
    <n v="0.89466778003101521"/>
  </r>
  <r>
    <x v="3"/>
    <x v="3"/>
    <n v="0.91433796216926677"/>
  </r>
  <r>
    <x v="3"/>
    <x v="2"/>
    <n v="5.0881953867028491"/>
  </r>
  <r>
    <x v="4"/>
    <x v="0"/>
    <n v="13.534883720930232"/>
  </r>
  <r>
    <x v="4"/>
    <x v="3"/>
    <n v="2.0465116279069768"/>
  </r>
  <r>
    <x v="4"/>
    <x v="3"/>
    <n v="2.4651162790697674"/>
  </r>
  <r>
    <x v="4"/>
    <x v="2"/>
    <n v="5.3953488372093021"/>
  </r>
  <r>
    <x v="5"/>
    <x v="0"/>
    <n v="14.009433962264151"/>
  </r>
  <r>
    <x v="5"/>
    <x v="1"/>
    <n v="3.75"/>
  </r>
  <r>
    <x v="5"/>
    <x v="1"/>
    <n v="3.8679245283018866"/>
  </r>
  <r>
    <x v="5"/>
    <x v="3"/>
    <n v="1.7924528301886793"/>
  </r>
  <r>
    <x v="5"/>
    <x v="3"/>
    <n v="1.926605504587156"/>
  </r>
  <r>
    <x v="5"/>
    <x v="2"/>
    <n v="4.0654205607476639"/>
  </r>
  <r>
    <x v="6"/>
    <x v="3"/>
    <n v="0"/>
  </r>
  <r>
    <x v="7"/>
    <x v="1"/>
    <n v="0.33"/>
  </r>
  <r>
    <x v="8"/>
    <x v="1"/>
    <n v="1.2009389158796877"/>
  </r>
  <r>
    <x v="8"/>
    <x v="1"/>
    <n v="1.3370473537604457"/>
  </r>
  <r>
    <x v="8"/>
    <x v="3"/>
    <n v="0.77821011673151752"/>
  </r>
  <r>
    <x v="8"/>
    <x v="3"/>
    <n v="1.1142061281337048"/>
  </r>
  <r>
    <x v="9"/>
    <x v="1"/>
    <n v="1.3136288998357963"/>
  </r>
  <r>
    <x v="9"/>
    <x v="1"/>
    <n v="1.7827820783485808"/>
  </r>
  <r>
    <x v="9"/>
    <x v="3"/>
    <n v="1.2667135819845179"/>
  </r>
  <r>
    <x v="9"/>
    <x v="3"/>
    <n v="1.4074595355383532"/>
  </r>
  <r>
    <x v="9"/>
    <x v="2"/>
    <n v="5.489092188599578"/>
  </r>
  <r>
    <x v="10"/>
    <x v="0"/>
    <n v="13.6"/>
  </r>
  <r>
    <x v="10"/>
    <x v="1"/>
    <n v="3.2356799300393528"/>
  </r>
  <r>
    <x v="10"/>
    <x v="1"/>
    <n v="3.7603847835592483"/>
  </r>
  <r>
    <x v="10"/>
    <x v="3"/>
    <n v="3.3668561434193269"/>
  </r>
  <r>
    <x v="10"/>
    <x v="2"/>
    <n v="7.34"/>
  </r>
  <r>
    <x v="10"/>
    <x v="2"/>
    <n v="7.3895933537385226"/>
  </r>
  <r>
    <x v="11"/>
    <x v="0"/>
    <n v="12.593357699030669"/>
  </r>
  <r>
    <x v="11"/>
    <x v="1"/>
    <n v="4.8863816939456539"/>
  </r>
  <r>
    <x v="11"/>
    <x v="1"/>
    <n v="5.2836484983314795"/>
  </r>
  <r>
    <x v="11"/>
    <x v="3"/>
    <n v="2.94"/>
  </r>
  <r>
    <x v="11"/>
    <x v="3"/>
    <n v="3.06"/>
  </r>
  <r>
    <x v="11"/>
    <x v="2"/>
    <n v="7.4288892420149368"/>
  </r>
  <r>
    <x v="12"/>
    <x v="1"/>
    <n v="0"/>
  </r>
  <r>
    <x v="12"/>
    <x v="1"/>
    <n v="0.34883720930232559"/>
  </r>
  <r>
    <x v="12"/>
    <x v="3"/>
    <n v="0"/>
  </r>
  <r>
    <x v="12"/>
    <x v="3"/>
    <n v="0"/>
  </r>
  <r>
    <x v="13"/>
    <x v="1"/>
    <n v="0"/>
  </r>
  <r>
    <x v="13"/>
    <x v="1"/>
    <n v="0"/>
  </r>
  <r>
    <x v="13"/>
    <x v="1"/>
    <n v="0.65"/>
  </r>
  <r>
    <x v="13"/>
    <x v="3"/>
    <n v="0.33685156074556477"/>
  </r>
  <r>
    <x v="13"/>
    <x v="3"/>
    <n v="0.44370493621741541"/>
  </r>
  <r>
    <x v="13"/>
    <x v="2"/>
    <n v="7.8133361875200675"/>
  </r>
  <r>
    <x v="14"/>
    <x v="0"/>
    <n v="14.6"/>
  </r>
  <r>
    <x v="14"/>
    <x v="1"/>
    <n v="1.6339869281045751"/>
  </r>
  <r>
    <x v="14"/>
    <x v="1"/>
    <n v="3.9087599057614053"/>
  </r>
  <r>
    <x v="14"/>
    <x v="3"/>
    <n v="2.3101194500788824"/>
  </r>
  <r>
    <x v="14"/>
    <x v="3"/>
    <n v="3.6954087346024638"/>
  </r>
  <r>
    <x v="14"/>
    <x v="2"/>
    <n v="5.5"/>
  </r>
  <r>
    <x v="14"/>
    <x v="2"/>
    <n v="6.36"/>
  </r>
  <r>
    <x v="15"/>
    <x v="1"/>
    <n v="5.1145444858817264"/>
  </r>
  <r>
    <x v="15"/>
    <x v="1"/>
    <n v="5.782822874277147"/>
  </r>
  <r>
    <x v="15"/>
    <x v="3"/>
    <n v="3.4040178571428572"/>
  </r>
  <r>
    <x v="15"/>
    <x v="3"/>
    <n v="3.6954087346024638"/>
  </r>
  <r>
    <x v="15"/>
    <x v="2"/>
    <n v="6.88"/>
  </r>
  <r>
    <x v="16"/>
    <x v="0"/>
    <n v="12.49639527059502"/>
  </r>
  <r>
    <x v="16"/>
    <x v="1"/>
    <n v="0"/>
  </r>
  <r>
    <x v="16"/>
    <x v="1"/>
    <n v="0.24031529366528886"/>
  </r>
  <r>
    <x v="16"/>
    <x v="3"/>
    <n v="0.14381591562799617"/>
  </r>
  <r>
    <x v="16"/>
    <x v="3"/>
    <n v="0.33478406427854035"/>
  </r>
  <r>
    <x v="16"/>
    <x v="2"/>
    <n v="5.0456968773800455"/>
  </r>
  <r>
    <x v="17"/>
    <x v="0"/>
    <n v="15.230261671261355"/>
  </r>
  <r>
    <x v="17"/>
    <x v="1"/>
    <n v="2.5847717515114343"/>
  </r>
  <r>
    <x v="17"/>
    <x v="1"/>
    <n v="2.8476298957329362"/>
  </r>
  <r>
    <x v="17"/>
    <x v="3"/>
    <n v="1.2151215121512151"/>
  </r>
  <r>
    <x v="17"/>
    <x v="3"/>
    <n v="1.1259676284306825"/>
  </r>
  <r>
    <x v="17"/>
    <x v="2"/>
    <n v="6.3944676013641528"/>
  </r>
  <r>
    <x v="18"/>
    <x v="0"/>
    <n v="13.1"/>
  </r>
  <r>
    <x v="18"/>
    <x v="1"/>
    <n v="3.4"/>
  </r>
  <r>
    <x v="18"/>
    <x v="1"/>
    <n v="3.65"/>
  </r>
  <r>
    <x v="18"/>
    <x v="3"/>
    <n v="1.2121212121212122"/>
  </r>
  <r>
    <x v="18"/>
    <x v="3"/>
    <n v="1.5"/>
  </r>
  <r>
    <x v="18"/>
    <x v="3"/>
    <n v="1.75"/>
  </r>
  <r>
    <x v="18"/>
    <x v="2"/>
    <n v="6.1"/>
  </r>
  <r>
    <x v="19"/>
    <x v="0"/>
    <n v="12.182122734886555"/>
  </r>
  <r>
    <x v="19"/>
    <x v="1"/>
    <n v="2.8411973617453072"/>
  </r>
  <r>
    <x v="19"/>
    <x v="1"/>
    <n v="3.1313131313131315"/>
  </r>
  <r>
    <x v="19"/>
    <x v="3"/>
    <n v="1.1674534287599614"/>
  </r>
  <r>
    <x v="19"/>
    <x v="2"/>
    <n v="6.1925790569006649"/>
  </r>
  <r>
    <x v="20"/>
    <x v="0"/>
    <n v="11.488884737530357"/>
  </r>
  <r>
    <x v="20"/>
    <x v="1"/>
    <n v="3.08238371006912"/>
  </r>
  <r>
    <x v="20"/>
    <x v="1"/>
    <n v="3.6428171118998693"/>
  </r>
  <r>
    <x v="20"/>
    <x v="3"/>
    <n v="1.3076779376050813"/>
  </r>
  <r>
    <x v="20"/>
    <x v="3"/>
    <n v="1.6345974220063515"/>
  </r>
  <r>
    <x v="20"/>
    <x v="2"/>
    <n v="5.7911451522510742"/>
  </r>
  <r>
    <x v="21"/>
    <x v="0"/>
    <n v="16.2"/>
  </r>
  <r>
    <x v="21"/>
    <x v="1"/>
    <n v="2.84"/>
  </r>
  <r>
    <x v="21"/>
    <x v="1"/>
    <n v="2.98"/>
  </r>
  <r>
    <x v="21"/>
    <x v="3"/>
    <n v="1.4423076923076923"/>
  </r>
  <r>
    <x v="21"/>
    <x v="2"/>
    <n v="6.7307692307692308"/>
  </r>
  <r>
    <x v="21"/>
    <x v="2"/>
    <n v="8.6538461538461533"/>
  </r>
  <r>
    <x v="22"/>
    <x v="0"/>
    <n v="13.5"/>
  </r>
  <r>
    <x v="22"/>
    <x v="1"/>
    <n v="0.19"/>
  </r>
  <r>
    <x v="22"/>
    <x v="1"/>
    <n v="0.28999999999999998"/>
  </r>
  <r>
    <x v="22"/>
    <x v="3"/>
    <n v="0.34"/>
  </r>
  <r>
    <x v="22"/>
    <x v="2"/>
    <n v="5.0999999999999996"/>
  </r>
  <r>
    <x v="23"/>
    <x v="1"/>
    <n v="0.56999999999999995"/>
  </r>
  <r>
    <x v="23"/>
    <x v="3"/>
    <n v="0.68"/>
  </r>
  <r>
    <x v="23"/>
    <x v="3"/>
    <n v="1.6"/>
  </r>
  <r>
    <x v="23"/>
    <x v="3"/>
    <n v="2.44"/>
  </r>
  <r>
    <x v="24"/>
    <x v="1"/>
    <n v="2.4"/>
  </r>
  <r>
    <x v="24"/>
    <x v="1"/>
    <n v="2.88"/>
  </r>
  <r>
    <x v="24"/>
    <x v="3"/>
    <n v="0.76"/>
  </r>
  <r>
    <x v="24"/>
    <x v="3"/>
    <n v="1.5154576682158012"/>
  </r>
  <r>
    <x v="24"/>
    <x v="2"/>
    <n v="6.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D2154-07B0-4659-9C2D-6891571E9435}" name="PivotTable7" cacheId="8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showHeaders="0" outline="1" outlineData="1" multipleFieldFilters="0" chartFormat="1">
  <location ref="A3:F30" firstHeaderRow="1" firstDataRow="2" firstDataCol="1"/>
  <pivotFields count="3">
    <pivotField axis="axisRow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N/mm2" fld="2" subtotal="max" baseField="0" baseItem="3"/>
  </dataFields>
  <formats count="7">
    <format dxfId="20">
      <pivotArea collapsedLevelsAreSubtotals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collapsedLevelsAreSubtotals="1" fieldPosition="0">
        <references count="1">
          <reference field="0" count="0"/>
        </references>
      </pivotArea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D0AA3-6439-457D-BB42-20CDDE80BA6B}" name="Table1" displayName="Table1" ref="B1:D126" totalsRowShown="0">
  <autoFilter ref="B1:D126" xr:uid="{5F3CE64B-AF24-471C-98ED-28B9A49754A6}"/>
  <sortState xmlns:xlrd2="http://schemas.microsoft.com/office/spreadsheetml/2017/richdata2" ref="B2:D126">
    <sortCondition ref="B1:B126"/>
  </sortState>
  <tableColumns count="3">
    <tableColumn id="1" xr3:uid="{C26B426D-AA05-4399-80D5-B0CCC3DDA586}" name="adeziv"/>
    <tableColumn id="2" xr3:uid="{AEE4468F-993F-4B14-8D37-50260B55AF6D}" name="test"/>
    <tableColumn id="3" xr3:uid="{21C30459-1CBF-416B-AFD8-C17FC7C04A17}" name="N/mm2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C6946-11F1-4B09-A511-57A5CF170E36}" name="Table13" displayName="Table13" ref="F1:J126" totalsRowShown="0">
  <autoFilter ref="F1:J126" xr:uid="{9559EF50-BA55-4EA5-94FB-E73B9A928116}"/>
  <sortState xmlns:xlrd2="http://schemas.microsoft.com/office/spreadsheetml/2017/richdata2" ref="G2:I45">
    <sortCondition ref="G1:G45"/>
  </sortState>
  <tableColumns count="5">
    <tableColumn id="4" xr3:uid="{EBDE07E9-D7C1-416B-8D6B-EB0B5E2E8660}" name="data" dataDxfId="23"/>
    <tableColumn id="1" xr3:uid="{3CA1945A-85B2-454F-8E40-D00492073D64}" name="adeziv"/>
    <tableColumn id="2" xr3:uid="{AADF83DA-BCD5-4514-BFCD-6A62BD393D88}" name="test"/>
    <tableColumn id="3" xr3:uid="{A5AFE327-6157-405A-B3F0-C5BAE1F76FBC}" name="N/mm2" dataDxfId="22"/>
    <tableColumn id="5" xr3:uid="{EBF24116-4FA9-439F-9B2A-981A8B634152}" name="wood failure[%]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DF5F-C254-4E09-9E70-246BB9E1FEDE}">
  <dimension ref="A1:AE126"/>
  <sheetViews>
    <sheetView tabSelected="1" workbookViewId="0">
      <selection activeCell="F130" sqref="F130"/>
    </sheetView>
  </sheetViews>
  <sheetFormatPr defaultRowHeight="15" x14ac:dyDescent="0.25"/>
  <cols>
    <col min="1" max="1" width="3.28515625" customWidth="1"/>
    <col min="2" max="2" width="12.42578125" bestFit="1" customWidth="1"/>
    <col min="3" max="3" width="6.7109375" bestFit="1" customWidth="1"/>
    <col min="4" max="4" width="10.5703125" bestFit="1" customWidth="1"/>
    <col min="5" max="5" width="2.28515625" customWidth="1"/>
    <col min="6" max="6" width="7.140625" bestFit="1" customWidth="1"/>
    <col min="7" max="7" width="12.42578125" bestFit="1" customWidth="1"/>
    <col min="8" max="8" width="6.7109375" bestFit="1" customWidth="1"/>
    <col min="9" max="9" width="12" bestFit="1" customWidth="1"/>
    <col min="10" max="10" width="17.7109375" bestFit="1" customWidth="1"/>
    <col min="11" max="11" width="2.28515625" customWidth="1"/>
    <col min="15" max="15" width="10.28515625" bestFit="1" customWidth="1"/>
    <col min="16" max="16" width="17.28515625" bestFit="1" customWidth="1"/>
    <col min="17" max="17" width="18.5703125" bestFit="1" customWidth="1"/>
    <col min="18" max="18" width="15.140625" bestFit="1" customWidth="1"/>
    <col min="22" max="22" width="27" bestFit="1" customWidth="1"/>
  </cols>
  <sheetData>
    <row r="1" spans="2:26" ht="15.75" thickBot="1" x14ac:dyDescent="0.3">
      <c r="B1" t="s">
        <v>5</v>
      </c>
      <c r="C1" t="s">
        <v>4</v>
      </c>
      <c r="D1" t="s">
        <v>2</v>
      </c>
      <c r="F1" t="s">
        <v>61</v>
      </c>
      <c r="G1" t="s">
        <v>5</v>
      </c>
      <c r="H1" t="s">
        <v>4</v>
      </c>
      <c r="I1" t="s">
        <v>2</v>
      </c>
      <c r="J1" t="s">
        <v>64</v>
      </c>
    </row>
    <row r="2" spans="2:26" ht="15.75" thickBot="1" x14ac:dyDescent="0.3">
      <c r="B2">
        <v>140.1</v>
      </c>
      <c r="C2" t="s">
        <v>3</v>
      </c>
      <c r="D2" s="41">
        <v>14.75</v>
      </c>
      <c r="G2">
        <v>140.1</v>
      </c>
      <c r="H2" t="s">
        <v>3</v>
      </c>
      <c r="I2" s="41">
        <v>14.75</v>
      </c>
      <c r="J2" s="41"/>
      <c r="M2" s="74" t="s">
        <v>13</v>
      </c>
      <c r="N2" s="75"/>
      <c r="O2" s="75"/>
      <c r="P2" s="75"/>
      <c r="Q2" s="75"/>
      <c r="R2" s="75"/>
      <c r="S2" s="76"/>
      <c r="U2" s="53" t="s">
        <v>40</v>
      </c>
      <c r="V2" s="54"/>
      <c r="W2" s="54"/>
      <c r="X2" s="54"/>
      <c r="Y2" s="54"/>
      <c r="Z2" s="55"/>
    </row>
    <row r="3" spans="2:26" x14ac:dyDescent="0.25">
      <c r="B3">
        <v>140.1</v>
      </c>
      <c r="C3" t="s">
        <v>1</v>
      </c>
      <c r="D3" s="41">
        <v>2.2999999999999998</v>
      </c>
      <c r="G3">
        <v>140.1</v>
      </c>
      <c r="H3" t="s">
        <v>1</v>
      </c>
      <c r="I3" s="41">
        <v>2.2999999999999998</v>
      </c>
      <c r="J3" s="41"/>
      <c r="M3" s="11"/>
      <c r="N3" s="12"/>
      <c r="O3" s="12" t="s">
        <v>15</v>
      </c>
      <c r="P3" s="12" t="s">
        <v>16</v>
      </c>
      <c r="Q3" s="54" t="s">
        <v>23</v>
      </c>
      <c r="R3" s="54"/>
      <c r="S3" s="13"/>
      <c r="U3" s="62" t="s">
        <v>25</v>
      </c>
      <c r="V3" s="63"/>
      <c r="W3" s="48" t="s">
        <v>34</v>
      </c>
      <c r="X3" s="48"/>
      <c r="Y3" s="48"/>
      <c r="Z3" s="49"/>
    </row>
    <row r="4" spans="2:26" ht="15.75" thickBot="1" x14ac:dyDescent="0.3">
      <c r="B4">
        <v>140.1</v>
      </c>
      <c r="C4" t="s">
        <v>1</v>
      </c>
      <c r="D4" s="41">
        <v>2.76</v>
      </c>
      <c r="G4">
        <v>140.1</v>
      </c>
      <c r="H4" t="s">
        <v>1</v>
      </c>
      <c r="I4" s="41">
        <v>2.76</v>
      </c>
      <c r="J4" s="41"/>
      <c r="M4" s="4" t="s">
        <v>19</v>
      </c>
      <c r="N4" s="5" t="s">
        <v>3</v>
      </c>
      <c r="O4" s="5" t="s">
        <v>14</v>
      </c>
      <c r="P4" s="5" t="s">
        <v>17</v>
      </c>
      <c r="Q4" s="10"/>
      <c r="R4" s="10"/>
      <c r="S4" s="6" t="s">
        <v>4</v>
      </c>
      <c r="U4" s="18" t="s">
        <v>26</v>
      </c>
      <c r="V4" s="19" t="s">
        <v>27</v>
      </c>
      <c r="W4" s="17" t="s">
        <v>30</v>
      </c>
      <c r="X4" s="17" t="s">
        <v>31</v>
      </c>
      <c r="Y4" s="17" t="s">
        <v>32</v>
      </c>
      <c r="Z4" s="20" t="s">
        <v>33</v>
      </c>
    </row>
    <row r="5" spans="2:26" x14ac:dyDescent="0.25">
      <c r="B5">
        <v>140.1</v>
      </c>
      <c r="C5" t="s">
        <v>7</v>
      </c>
      <c r="D5" s="41">
        <v>3.8</v>
      </c>
      <c r="G5">
        <v>140.1</v>
      </c>
      <c r="H5" t="s">
        <v>7</v>
      </c>
      <c r="I5" s="41">
        <v>3.8</v>
      </c>
      <c r="J5" s="41"/>
      <c r="M5" s="4"/>
      <c r="N5" s="5" t="s">
        <v>1</v>
      </c>
      <c r="O5" s="5" t="s">
        <v>14</v>
      </c>
      <c r="P5" s="5" t="s">
        <v>17</v>
      </c>
      <c r="Q5" s="10" t="s">
        <v>18</v>
      </c>
      <c r="R5" s="10"/>
      <c r="S5" s="6" t="s">
        <v>4</v>
      </c>
      <c r="U5" s="21">
        <v>1</v>
      </c>
      <c r="V5" s="22" t="s">
        <v>28</v>
      </c>
      <c r="W5" s="15" t="s">
        <v>35</v>
      </c>
      <c r="X5" s="15" t="s">
        <v>35</v>
      </c>
      <c r="Y5" s="15" t="s">
        <v>35</v>
      </c>
      <c r="Z5" s="23" t="s">
        <v>35</v>
      </c>
    </row>
    <row r="6" spans="2:26" x14ac:dyDescent="0.25">
      <c r="B6">
        <v>142.1</v>
      </c>
      <c r="C6" t="s">
        <v>3</v>
      </c>
      <c r="D6" s="41">
        <v>12.7</v>
      </c>
      <c r="G6">
        <v>142.1</v>
      </c>
      <c r="H6" t="s">
        <v>3</v>
      </c>
      <c r="I6" s="41">
        <v>12.7</v>
      </c>
      <c r="J6" s="41"/>
      <c r="M6" s="4"/>
      <c r="N6" s="5" t="s">
        <v>6</v>
      </c>
      <c r="O6" s="5" t="s">
        <v>14</v>
      </c>
      <c r="P6" s="5" t="s">
        <v>17</v>
      </c>
      <c r="Q6" s="10" t="s">
        <v>20</v>
      </c>
      <c r="R6" s="10" t="s">
        <v>21</v>
      </c>
      <c r="S6" s="6" t="s">
        <v>4</v>
      </c>
      <c r="U6" s="71">
        <v>2</v>
      </c>
      <c r="V6" s="10" t="s">
        <v>28</v>
      </c>
      <c r="W6" s="66" t="s">
        <v>39</v>
      </c>
      <c r="X6" s="66" t="s">
        <v>36</v>
      </c>
      <c r="Y6" s="66" t="s">
        <v>39</v>
      </c>
      <c r="Z6" s="64" t="s">
        <v>39</v>
      </c>
    </row>
    <row r="7" spans="2:26" ht="15.75" thickBot="1" x14ac:dyDescent="0.3">
      <c r="B7">
        <v>142.1</v>
      </c>
      <c r="C7" t="s">
        <v>1</v>
      </c>
      <c r="D7" s="41">
        <v>1.57</v>
      </c>
      <c r="G7">
        <v>142.1</v>
      </c>
      <c r="H7" t="s">
        <v>1</v>
      </c>
      <c r="I7" s="41">
        <v>1.57</v>
      </c>
      <c r="J7" s="41"/>
      <c r="M7" s="7"/>
      <c r="N7" s="8" t="s">
        <v>7</v>
      </c>
      <c r="O7" s="8" t="s">
        <v>14</v>
      </c>
      <c r="P7" s="8" t="s">
        <v>17</v>
      </c>
      <c r="Q7" s="14" t="s">
        <v>22</v>
      </c>
      <c r="R7" s="14"/>
      <c r="S7" s="9" t="s">
        <v>4</v>
      </c>
      <c r="U7" s="71"/>
      <c r="V7" s="10" t="s">
        <v>29</v>
      </c>
      <c r="W7" s="66"/>
      <c r="X7" s="66"/>
      <c r="Y7" s="66"/>
      <c r="Z7" s="64"/>
    </row>
    <row r="8" spans="2:26" x14ac:dyDescent="0.25">
      <c r="B8">
        <v>142.1</v>
      </c>
      <c r="C8" t="s">
        <v>1</v>
      </c>
      <c r="D8" s="41">
        <v>1.65</v>
      </c>
      <c r="G8">
        <v>142.1</v>
      </c>
      <c r="H8" t="s">
        <v>1</v>
      </c>
      <c r="I8" s="41">
        <v>1.65</v>
      </c>
      <c r="J8" s="41"/>
      <c r="U8" s="71"/>
      <c r="V8" s="10" t="s">
        <v>28</v>
      </c>
      <c r="W8" s="66"/>
      <c r="X8" s="66"/>
      <c r="Y8" s="66"/>
      <c r="Z8" s="64"/>
    </row>
    <row r="9" spans="2:26" x14ac:dyDescent="0.25">
      <c r="B9">
        <v>142.1</v>
      </c>
      <c r="C9" t="s">
        <v>7</v>
      </c>
      <c r="D9" s="41">
        <v>3.2</v>
      </c>
      <c r="G9">
        <v>142.1</v>
      </c>
      <c r="H9" t="s">
        <v>7</v>
      </c>
      <c r="I9" s="41">
        <v>3.2</v>
      </c>
      <c r="J9" s="41"/>
      <c r="P9" s="16" t="s">
        <v>45</v>
      </c>
      <c r="Q9" s="16" t="s">
        <v>46</v>
      </c>
      <c r="U9" s="71">
        <v>3</v>
      </c>
      <c r="V9" s="10" t="s">
        <v>28</v>
      </c>
      <c r="W9" s="67" t="s">
        <v>39</v>
      </c>
      <c r="X9" s="67" t="s">
        <v>39</v>
      </c>
      <c r="Y9" s="66" t="s">
        <v>37</v>
      </c>
      <c r="Z9" s="64" t="s">
        <v>38</v>
      </c>
    </row>
    <row r="10" spans="2:26" x14ac:dyDescent="0.25">
      <c r="B10">
        <v>143.1</v>
      </c>
      <c r="C10" t="s">
        <v>3</v>
      </c>
      <c r="D10" s="41">
        <v>14.5</v>
      </c>
      <c r="G10">
        <v>143.1</v>
      </c>
      <c r="H10" t="s">
        <v>3</v>
      </c>
      <c r="I10" s="41">
        <v>14.5</v>
      </c>
      <c r="J10" s="41"/>
      <c r="P10" s="16">
        <v>140.1</v>
      </c>
      <c r="Q10" s="16" t="s">
        <v>42</v>
      </c>
      <c r="U10" s="71"/>
      <c r="V10" s="10" t="s">
        <v>18</v>
      </c>
      <c r="W10" s="73"/>
      <c r="X10" s="73"/>
      <c r="Y10" s="66"/>
      <c r="Z10" s="64"/>
    </row>
    <row r="11" spans="2:26" x14ac:dyDescent="0.25">
      <c r="B11">
        <v>143.1</v>
      </c>
      <c r="C11" t="s">
        <v>1</v>
      </c>
      <c r="D11" s="41">
        <v>0.6</v>
      </c>
      <c r="G11">
        <v>143.1</v>
      </c>
      <c r="H11" t="s">
        <v>1</v>
      </c>
      <c r="I11" s="41">
        <v>0.6</v>
      </c>
      <c r="J11" s="41"/>
      <c r="P11" s="16">
        <v>142.1</v>
      </c>
      <c r="Q11" s="16" t="s">
        <v>42</v>
      </c>
      <c r="U11" s="71">
        <v>4</v>
      </c>
      <c r="V11" s="10" t="s">
        <v>28</v>
      </c>
      <c r="W11" s="66" t="s">
        <v>39</v>
      </c>
      <c r="X11" s="66" t="s">
        <v>39</v>
      </c>
      <c r="Y11" s="66" t="s">
        <v>36</v>
      </c>
      <c r="Z11" s="64" t="s">
        <v>39</v>
      </c>
    </row>
    <row r="12" spans="2:26" x14ac:dyDescent="0.25">
      <c r="B12">
        <v>143.1</v>
      </c>
      <c r="C12" t="s">
        <v>1</v>
      </c>
      <c r="D12" s="41">
        <v>0.64</v>
      </c>
      <c r="G12">
        <v>143.1</v>
      </c>
      <c r="H12" t="s">
        <v>1</v>
      </c>
      <c r="I12" s="41">
        <v>0.64</v>
      </c>
      <c r="J12" s="41"/>
      <c r="P12" s="16">
        <v>143.1</v>
      </c>
      <c r="Q12" s="16" t="s">
        <v>42</v>
      </c>
      <c r="U12" s="71"/>
      <c r="V12" s="10" t="s">
        <v>18</v>
      </c>
      <c r="W12" s="66"/>
      <c r="X12" s="66"/>
      <c r="Y12" s="66"/>
      <c r="Z12" s="64"/>
    </row>
    <row r="13" spans="2:26" x14ac:dyDescent="0.25">
      <c r="B13">
        <v>143.1</v>
      </c>
      <c r="C13" t="s">
        <v>6</v>
      </c>
      <c r="D13" s="45">
        <v>0</v>
      </c>
      <c r="G13">
        <v>143.1</v>
      </c>
      <c r="H13" t="s">
        <v>6</v>
      </c>
      <c r="I13" s="45" t="s">
        <v>24</v>
      </c>
      <c r="J13" s="41"/>
      <c r="P13" s="16">
        <v>315.60000000000002</v>
      </c>
      <c r="Q13" s="16" t="s">
        <v>42</v>
      </c>
      <c r="U13" s="71"/>
      <c r="V13" s="10" t="s">
        <v>28</v>
      </c>
      <c r="W13" s="66"/>
      <c r="X13" s="66"/>
      <c r="Y13" s="66"/>
      <c r="Z13" s="64"/>
    </row>
    <row r="14" spans="2:26" x14ac:dyDescent="0.25">
      <c r="B14">
        <v>143.1</v>
      </c>
      <c r="C14" t="s">
        <v>6</v>
      </c>
      <c r="D14" s="41">
        <v>0.127</v>
      </c>
      <c r="G14">
        <v>143.1</v>
      </c>
      <c r="H14" t="s">
        <v>7</v>
      </c>
      <c r="I14" s="41">
        <v>6.3</v>
      </c>
      <c r="J14" s="41"/>
      <c r="P14" s="16">
        <v>3153.6</v>
      </c>
      <c r="Q14" s="16" t="s">
        <v>42</v>
      </c>
      <c r="U14" s="71">
        <v>5</v>
      </c>
      <c r="V14" s="10" t="s">
        <v>28</v>
      </c>
      <c r="W14" s="66" t="s">
        <v>39</v>
      </c>
      <c r="X14" s="66" t="s">
        <v>39</v>
      </c>
      <c r="Y14" s="66" t="s">
        <v>39</v>
      </c>
      <c r="Z14" s="64" t="s">
        <v>38</v>
      </c>
    </row>
    <row r="15" spans="2:26" x14ac:dyDescent="0.25">
      <c r="B15">
        <v>143.1</v>
      </c>
      <c r="C15" t="s">
        <v>7</v>
      </c>
      <c r="D15" s="41">
        <v>6.3</v>
      </c>
      <c r="G15">
        <v>315.60000000000002</v>
      </c>
      <c r="H15" t="s">
        <v>6</v>
      </c>
      <c r="I15" s="45" t="s">
        <v>24</v>
      </c>
      <c r="J15" s="41"/>
      <c r="P15" s="16" t="s">
        <v>10</v>
      </c>
      <c r="Q15" s="16" t="s">
        <v>42</v>
      </c>
      <c r="U15" s="71"/>
      <c r="V15" s="10" t="s">
        <v>20</v>
      </c>
      <c r="W15" s="66"/>
      <c r="X15" s="66"/>
      <c r="Y15" s="66"/>
      <c r="Z15" s="64"/>
    </row>
    <row r="16" spans="2:26" x14ac:dyDescent="0.25">
      <c r="B16">
        <v>148.1</v>
      </c>
      <c r="C16" t="s">
        <v>3</v>
      </c>
      <c r="D16" s="41">
        <v>13.4</v>
      </c>
      <c r="G16">
        <v>3153.6</v>
      </c>
      <c r="H16" t="s">
        <v>1</v>
      </c>
      <c r="I16" s="41">
        <v>0.33</v>
      </c>
      <c r="J16" s="41"/>
      <c r="P16" s="16" t="s">
        <v>8</v>
      </c>
      <c r="Q16" s="16" t="s">
        <v>42</v>
      </c>
      <c r="U16" s="71"/>
      <c r="V16" s="10" t="s">
        <v>28</v>
      </c>
      <c r="W16" s="66"/>
      <c r="X16" s="66"/>
      <c r="Y16" s="66"/>
      <c r="Z16" s="64"/>
    </row>
    <row r="17" spans="1:31" x14ac:dyDescent="0.25">
      <c r="B17">
        <v>148.1</v>
      </c>
      <c r="C17" t="s">
        <v>1</v>
      </c>
      <c r="D17" s="41">
        <f>290/172</f>
        <v>1.6860465116279071</v>
      </c>
      <c r="G17" t="s">
        <v>10</v>
      </c>
      <c r="H17" t="s">
        <v>1</v>
      </c>
      <c r="I17" s="41">
        <v>0.65</v>
      </c>
      <c r="J17" s="41"/>
      <c r="P17" s="16" t="s">
        <v>0</v>
      </c>
      <c r="Q17" s="16" t="s">
        <v>41</v>
      </c>
      <c r="U17" s="71">
        <v>6</v>
      </c>
      <c r="V17" s="10" t="s">
        <v>28</v>
      </c>
      <c r="W17" s="67" t="s">
        <v>39</v>
      </c>
      <c r="X17" s="67" t="s">
        <v>39</v>
      </c>
      <c r="Y17" s="66" t="s">
        <v>39</v>
      </c>
      <c r="Z17" s="64" t="s">
        <v>36</v>
      </c>
    </row>
    <row r="18" spans="1:31" x14ac:dyDescent="0.25">
      <c r="B18">
        <v>148.1</v>
      </c>
      <c r="C18" t="s">
        <v>1</v>
      </c>
      <c r="D18" s="41">
        <f>350/174</f>
        <v>2.0114942528735633</v>
      </c>
      <c r="G18" t="s">
        <v>10</v>
      </c>
      <c r="H18" t="s">
        <v>1</v>
      </c>
      <c r="I18" s="45" t="s">
        <v>24</v>
      </c>
      <c r="J18" s="41"/>
      <c r="P18" s="16" t="s">
        <v>9</v>
      </c>
      <c r="Q18" s="16" t="s">
        <v>44</v>
      </c>
      <c r="U18" s="71"/>
      <c r="V18" s="10" t="s">
        <v>20</v>
      </c>
      <c r="W18" s="68"/>
      <c r="X18" s="68"/>
      <c r="Y18" s="66"/>
      <c r="Z18" s="64"/>
    </row>
    <row r="19" spans="1:31" x14ac:dyDescent="0.25">
      <c r="B19">
        <v>148.1</v>
      </c>
      <c r="C19" t="s">
        <v>6</v>
      </c>
      <c r="D19" s="41">
        <f>150/167.66</f>
        <v>0.89466778003101521</v>
      </c>
      <c r="G19" t="s">
        <v>10</v>
      </c>
      <c r="H19" t="s">
        <v>1</v>
      </c>
      <c r="I19" s="45" t="s">
        <v>24</v>
      </c>
      <c r="J19" s="41"/>
      <c r="P19" s="16" t="s">
        <v>12</v>
      </c>
      <c r="Q19" s="16" t="s">
        <v>43</v>
      </c>
      <c r="U19" s="71"/>
      <c r="V19" s="10" t="s">
        <v>21</v>
      </c>
      <c r="W19" s="68"/>
      <c r="X19" s="68"/>
      <c r="Y19" s="66"/>
      <c r="Z19" s="64"/>
    </row>
    <row r="20" spans="1:31" ht="15.75" thickBot="1" x14ac:dyDescent="0.3">
      <c r="A20" s="40"/>
      <c r="B20">
        <v>148.1</v>
      </c>
      <c r="C20" t="s">
        <v>6</v>
      </c>
      <c r="D20" s="41">
        <f>160/174.99</f>
        <v>0.91433796216926677</v>
      </c>
      <c r="F20" s="40"/>
      <c r="G20" t="s">
        <v>10</v>
      </c>
      <c r="H20" t="s">
        <v>7</v>
      </c>
      <c r="I20" s="41">
        <f>1460/186.86</f>
        <v>7.8133361875200675</v>
      </c>
      <c r="J20" s="41"/>
      <c r="U20" s="72"/>
      <c r="V20" s="14" t="s">
        <v>28</v>
      </c>
      <c r="W20" s="69"/>
      <c r="X20" s="69"/>
      <c r="Y20" s="70"/>
      <c r="Z20" s="65"/>
    </row>
    <row r="21" spans="1:31" ht="15.75" thickBot="1" x14ac:dyDescent="0.3">
      <c r="A21" s="40"/>
      <c r="B21">
        <v>148.1</v>
      </c>
      <c r="C21" t="s">
        <v>7</v>
      </c>
      <c r="D21" s="41">
        <f>900/176.88</f>
        <v>5.0881953867028491</v>
      </c>
      <c r="F21" s="40"/>
      <c r="G21" t="s">
        <v>8</v>
      </c>
      <c r="H21" t="s">
        <v>3</v>
      </c>
      <c r="I21" s="41">
        <v>14.6</v>
      </c>
      <c r="J21" s="41"/>
    </row>
    <row r="22" spans="1:31" ht="15.75" thickBot="1" x14ac:dyDescent="0.3">
      <c r="A22" s="40"/>
      <c r="B22">
        <v>149.1</v>
      </c>
      <c r="C22" s="46" t="s">
        <v>3</v>
      </c>
      <c r="D22" s="41">
        <f>2910/215</f>
        <v>13.534883720930232</v>
      </c>
      <c r="F22" s="40"/>
      <c r="G22" t="s">
        <v>8</v>
      </c>
      <c r="H22" t="s">
        <v>1</v>
      </c>
      <c r="I22" s="41">
        <f>310/189.72</f>
        <v>1.6339869281045751</v>
      </c>
      <c r="J22" s="41"/>
      <c r="M22" s="53" t="s">
        <v>55</v>
      </c>
      <c r="N22" s="54"/>
      <c r="O22" s="54"/>
      <c r="P22" s="54"/>
      <c r="Q22" s="54"/>
      <c r="R22" s="54"/>
      <c r="S22" s="55"/>
    </row>
    <row r="23" spans="1:31" x14ac:dyDescent="0.25">
      <c r="B23">
        <v>149.1</v>
      </c>
      <c r="C23" t="s">
        <v>6</v>
      </c>
      <c r="D23" s="41">
        <f>440/215</f>
        <v>2.0465116279069768</v>
      </c>
      <c r="G23" t="s">
        <v>8</v>
      </c>
      <c r="H23" t="s">
        <v>1</v>
      </c>
      <c r="I23" s="41">
        <f>730/186.76</f>
        <v>3.9087599057614053</v>
      </c>
      <c r="J23" s="41"/>
      <c r="M23" s="56" t="s">
        <v>56</v>
      </c>
      <c r="N23" s="57"/>
      <c r="O23" s="57"/>
      <c r="P23" s="57"/>
      <c r="Q23" s="57"/>
      <c r="R23" s="57"/>
      <c r="S23" s="58"/>
      <c r="U23" s="53" t="s">
        <v>40</v>
      </c>
      <c r="V23" s="54"/>
      <c r="W23" s="54"/>
      <c r="X23" s="54"/>
      <c r="Y23" s="54"/>
      <c r="Z23" s="55"/>
    </row>
    <row r="24" spans="1:31" x14ac:dyDescent="0.25">
      <c r="B24">
        <v>149.1</v>
      </c>
      <c r="C24" t="s">
        <v>6</v>
      </c>
      <c r="D24" s="41">
        <f>530/215</f>
        <v>2.4651162790697674</v>
      </c>
      <c r="G24" t="s">
        <v>8</v>
      </c>
      <c r="H24" t="s">
        <v>7</v>
      </c>
      <c r="I24" s="41">
        <v>5.5</v>
      </c>
      <c r="J24" s="41"/>
      <c r="M24" s="47"/>
      <c r="N24" s="48"/>
      <c r="O24" s="48"/>
      <c r="P24" s="48"/>
      <c r="Q24" s="48"/>
      <c r="R24" s="48"/>
      <c r="S24" s="49"/>
      <c r="U24" s="62" t="s">
        <v>47</v>
      </c>
      <c r="V24" s="63"/>
      <c r="W24" s="48" t="s">
        <v>34</v>
      </c>
      <c r="X24" s="48"/>
      <c r="Y24" s="48"/>
      <c r="Z24" s="49"/>
      <c r="AC24" s="5"/>
      <c r="AD24" s="5"/>
      <c r="AE24" s="5"/>
    </row>
    <row r="25" spans="1:31" ht="15.75" thickBot="1" x14ac:dyDescent="0.3">
      <c r="B25">
        <v>149.1</v>
      </c>
      <c r="C25" t="s">
        <v>7</v>
      </c>
      <c r="D25" s="41">
        <f>1160/215</f>
        <v>5.3953488372093021</v>
      </c>
      <c r="G25" t="s">
        <v>8</v>
      </c>
      <c r="H25" t="s">
        <v>7</v>
      </c>
      <c r="I25" s="41">
        <v>6.36</v>
      </c>
      <c r="J25" s="41"/>
      <c r="M25" s="47"/>
      <c r="N25" s="48"/>
      <c r="O25" s="48"/>
      <c r="P25" s="48"/>
      <c r="Q25" s="48"/>
      <c r="R25" s="48"/>
      <c r="S25" s="49"/>
      <c r="U25" s="27" t="s">
        <v>26</v>
      </c>
      <c r="V25" s="28" t="s">
        <v>27</v>
      </c>
      <c r="W25" s="25" t="s">
        <v>51</v>
      </c>
      <c r="X25" s="25" t="s">
        <v>52</v>
      </c>
      <c r="Y25" s="25" t="s">
        <v>32</v>
      </c>
      <c r="Z25" s="24" t="s">
        <v>33</v>
      </c>
      <c r="AC25" s="5"/>
      <c r="AD25" s="5"/>
      <c r="AE25" s="5"/>
    </row>
    <row r="26" spans="1:31" x14ac:dyDescent="0.25">
      <c r="B26">
        <v>150.1</v>
      </c>
      <c r="C26" t="s">
        <v>3</v>
      </c>
      <c r="D26" s="41">
        <f>2970/212</f>
        <v>14.009433962264151</v>
      </c>
      <c r="G26" t="s">
        <v>57</v>
      </c>
      <c r="H26" t="s">
        <v>1</v>
      </c>
      <c r="I26" s="41">
        <f>960/187.7</f>
        <v>5.1145444858817264</v>
      </c>
      <c r="J26" s="41"/>
      <c r="M26" s="47"/>
      <c r="N26" s="48"/>
      <c r="O26" s="48"/>
      <c r="P26" s="48"/>
      <c r="Q26" s="48"/>
      <c r="R26" s="48"/>
      <c r="S26" s="49"/>
      <c r="U26" s="33">
        <v>1</v>
      </c>
      <c r="V26" s="59" t="s">
        <v>53</v>
      </c>
      <c r="W26" s="26"/>
      <c r="X26" s="26"/>
      <c r="Y26" s="32" t="s">
        <v>50</v>
      </c>
      <c r="Z26" s="34" t="s">
        <v>50</v>
      </c>
      <c r="AC26" s="5"/>
      <c r="AD26" s="29"/>
      <c r="AE26" s="29"/>
    </row>
    <row r="27" spans="1:31" x14ac:dyDescent="0.25">
      <c r="B27">
        <v>150.1</v>
      </c>
      <c r="C27" t="s">
        <v>1</v>
      </c>
      <c r="D27" s="41">
        <f>810/216</f>
        <v>3.75</v>
      </c>
      <c r="G27" t="s">
        <v>57</v>
      </c>
      <c r="H27" t="s">
        <v>1</v>
      </c>
      <c r="I27" s="41">
        <f>1080/186.76</f>
        <v>5.782822874277147</v>
      </c>
      <c r="J27" s="41"/>
      <c r="M27" s="47"/>
      <c r="N27" s="48"/>
      <c r="O27" s="48"/>
      <c r="P27" s="48"/>
      <c r="Q27" s="48"/>
      <c r="R27" s="48"/>
      <c r="S27" s="49"/>
      <c r="U27" s="35">
        <v>2</v>
      </c>
      <c r="V27" s="60"/>
      <c r="W27" s="10"/>
      <c r="X27" s="10"/>
      <c r="Y27" s="31" t="s">
        <v>38</v>
      </c>
      <c r="Z27" s="36" t="s">
        <v>38</v>
      </c>
      <c r="AC27" s="5"/>
      <c r="AD27" s="29"/>
      <c r="AE27" s="29"/>
    </row>
    <row r="28" spans="1:31" x14ac:dyDescent="0.25">
      <c r="B28">
        <v>150.1</v>
      </c>
      <c r="C28" t="s">
        <v>1</v>
      </c>
      <c r="D28" s="41">
        <f>820/212</f>
        <v>3.8679245283018866</v>
      </c>
      <c r="G28" t="s">
        <v>54</v>
      </c>
      <c r="H28" t="s">
        <v>3</v>
      </c>
      <c r="I28" s="41">
        <v>16.2</v>
      </c>
      <c r="J28" s="41"/>
      <c r="M28" s="47"/>
      <c r="N28" s="48"/>
      <c r="O28" s="48"/>
      <c r="P28" s="48"/>
      <c r="Q28" s="48"/>
      <c r="R28" s="48"/>
      <c r="S28" s="49"/>
      <c r="U28" s="35">
        <v>3</v>
      </c>
      <c r="V28" s="60"/>
      <c r="W28" s="10"/>
      <c r="X28" s="10"/>
      <c r="Y28" s="30" t="s">
        <v>48</v>
      </c>
      <c r="Z28" s="36" t="s">
        <v>48</v>
      </c>
      <c r="AC28" s="5"/>
      <c r="AD28" s="29"/>
      <c r="AE28" s="29"/>
    </row>
    <row r="29" spans="1:31" x14ac:dyDescent="0.25">
      <c r="B29">
        <v>150.1</v>
      </c>
      <c r="C29" t="s">
        <v>6</v>
      </c>
      <c r="D29" s="41">
        <f>380/212</f>
        <v>1.7924528301886793</v>
      </c>
      <c r="G29" t="s">
        <v>54</v>
      </c>
      <c r="H29" t="s">
        <v>1</v>
      </c>
      <c r="I29" s="41">
        <v>2.84</v>
      </c>
      <c r="J29" s="41"/>
      <c r="M29" s="47"/>
      <c r="N29" s="48"/>
      <c r="O29" s="48"/>
      <c r="P29" s="48"/>
      <c r="Q29" s="48"/>
      <c r="R29" s="48"/>
      <c r="S29" s="49"/>
      <c r="U29" s="35">
        <v>4</v>
      </c>
      <c r="V29" s="60"/>
      <c r="W29" s="10"/>
      <c r="X29" s="10"/>
      <c r="Y29" s="31" t="s">
        <v>49</v>
      </c>
      <c r="Z29" s="36" t="s">
        <v>49</v>
      </c>
      <c r="AC29" s="5"/>
      <c r="AD29" s="29"/>
      <c r="AE29" s="29"/>
    </row>
    <row r="30" spans="1:31" ht="15.75" thickBot="1" x14ac:dyDescent="0.3">
      <c r="B30">
        <v>150.1</v>
      </c>
      <c r="C30" t="s">
        <v>6</v>
      </c>
      <c r="D30" s="41">
        <f>420/218</f>
        <v>1.926605504587156</v>
      </c>
      <c r="G30" t="s">
        <v>54</v>
      </c>
      <c r="H30" t="s">
        <v>1</v>
      </c>
      <c r="I30" s="41">
        <v>2.98</v>
      </c>
      <c r="J30" s="41"/>
      <c r="M30" s="50"/>
      <c r="N30" s="51"/>
      <c r="O30" s="51"/>
      <c r="P30" s="51"/>
      <c r="Q30" s="51"/>
      <c r="R30" s="51"/>
      <c r="S30" s="52"/>
      <c r="U30" s="37">
        <v>5</v>
      </c>
      <c r="V30" s="61"/>
      <c r="W30" s="14"/>
      <c r="X30" s="14"/>
      <c r="Y30" s="38" t="s">
        <v>36</v>
      </c>
      <c r="Z30" s="39" t="s">
        <v>36</v>
      </c>
      <c r="AC30" s="5"/>
      <c r="AD30" s="29"/>
      <c r="AE30" s="29"/>
    </row>
    <row r="31" spans="1:31" x14ac:dyDescent="0.25">
      <c r="B31">
        <v>150.1</v>
      </c>
      <c r="C31" t="s">
        <v>7</v>
      </c>
      <c r="D31" s="41">
        <f>870/214</f>
        <v>4.0654205607476639</v>
      </c>
      <c r="G31" t="s">
        <v>54</v>
      </c>
      <c r="H31" t="s">
        <v>6</v>
      </c>
      <c r="I31" s="41">
        <f>300/208</f>
        <v>1.4423076923076923</v>
      </c>
      <c r="J31" s="41"/>
      <c r="AC31" s="5"/>
      <c r="AD31" s="29"/>
      <c r="AE31" s="5"/>
    </row>
    <row r="32" spans="1:31" x14ac:dyDescent="0.25">
      <c r="B32">
        <v>315.60000000000002</v>
      </c>
      <c r="C32" t="s">
        <v>6</v>
      </c>
      <c r="D32" s="45">
        <v>0</v>
      </c>
      <c r="G32" t="s">
        <v>54</v>
      </c>
      <c r="H32" t="s">
        <v>7</v>
      </c>
      <c r="I32" s="41">
        <f>1400/208</f>
        <v>6.7307692307692308</v>
      </c>
      <c r="J32" s="41"/>
      <c r="AC32" s="5"/>
      <c r="AD32" s="5"/>
      <c r="AE32" s="5"/>
    </row>
    <row r="33" spans="1:31" x14ac:dyDescent="0.25">
      <c r="B33">
        <v>3153.6</v>
      </c>
      <c r="C33" t="s">
        <v>1</v>
      </c>
      <c r="D33" s="41">
        <v>0.33</v>
      </c>
      <c r="G33" t="s">
        <v>54</v>
      </c>
      <c r="H33" t="s">
        <v>7</v>
      </c>
      <c r="I33" s="41">
        <f>1800/208</f>
        <v>8.6538461538461533</v>
      </c>
      <c r="J33" s="41"/>
      <c r="AC33" s="5"/>
      <c r="AD33" s="5"/>
      <c r="AE33" s="5"/>
    </row>
    <row r="34" spans="1:31" x14ac:dyDescent="0.25">
      <c r="A34" s="40"/>
      <c r="B34" t="s">
        <v>59</v>
      </c>
      <c r="C34" t="s">
        <v>1</v>
      </c>
      <c r="D34" s="41">
        <f>220/183.19</f>
        <v>1.2009389158796877</v>
      </c>
      <c r="F34" s="40"/>
      <c r="G34" t="s">
        <v>0</v>
      </c>
      <c r="H34" t="s">
        <v>3</v>
      </c>
      <c r="I34" s="41">
        <v>13.5</v>
      </c>
      <c r="J34" s="41"/>
      <c r="AC34" s="5"/>
      <c r="AD34" s="5"/>
      <c r="AE34" s="5"/>
    </row>
    <row r="35" spans="1:31" x14ac:dyDescent="0.25">
      <c r="B35" t="s">
        <v>59</v>
      </c>
      <c r="C35" t="s">
        <v>1</v>
      </c>
      <c r="D35" s="41">
        <f>240/179.5</f>
        <v>1.3370473537604457</v>
      </c>
      <c r="G35" t="s">
        <v>0</v>
      </c>
      <c r="H35" t="s">
        <v>1</v>
      </c>
      <c r="I35" s="41">
        <v>0.19</v>
      </c>
      <c r="J35" s="41"/>
    </row>
    <row r="36" spans="1:31" x14ac:dyDescent="0.25">
      <c r="B36" t="s">
        <v>59</v>
      </c>
      <c r="C36" t="s">
        <v>6</v>
      </c>
      <c r="D36" s="41">
        <f>140/179.9</f>
        <v>0.77821011673151752</v>
      </c>
      <c r="G36" t="s">
        <v>0</v>
      </c>
      <c r="H36" t="s">
        <v>1</v>
      </c>
      <c r="I36" s="41">
        <v>0.28999999999999998</v>
      </c>
      <c r="J36" s="41"/>
    </row>
    <row r="37" spans="1:31" x14ac:dyDescent="0.25">
      <c r="B37" t="s">
        <v>59</v>
      </c>
      <c r="C37" t="s">
        <v>6</v>
      </c>
      <c r="D37" s="41">
        <f>200/179.5</f>
        <v>1.1142061281337048</v>
      </c>
      <c r="G37" t="s">
        <v>0</v>
      </c>
      <c r="H37" t="s">
        <v>6</v>
      </c>
      <c r="I37" s="41">
        <v>0.34</v>
      </c>
      <c r="J37" s="41"/>
    </row>
    <row r="38" spans="1:31" x14ac:dyDescent="0.25">
      <c r="B38" t="s">
        <v>58</v>
      </c>
      <c r="C38" t="s">
        <v>1</v>
      </c>
      <c r="D38" s="41">
        <f>280/213.15</f>
        <v>1.3136288998357963</v>
      </c>
      <c r="G38" t="s">
        <v>0</v>
      </c>
      <c r="H38" t="s">
        <v>7</v>
      </c>
      <c r="I38" s="41">
        <v>5.0999999999999996</v>
      </c>
      <c r="J38" s="41"/>
    </row>
    <row r="39" spans="1:31" x14ac:dyDescent="0.25">
      <c r="B39" t="s">
        <v>58</v>
      </c>
      <c r="C39" t="s">
        <v>1</v>
      </c>
      <c r="D39" s="41">
        <f>380/213.15</f>
        <v>1.7827820783485808</v>
      </c>
      <c r="G39" t="s">
        <v>9</v>
      </c>
      <c r="H39" t="s">
        <v>1</v>
      </c>
      <c r="I39" s="41">
        <v>0.56999999999999995</v>
      </c>
      <c r="J39" s="41"/>
    </row>
    <row r="40" spans="1:31" x14ac:dyDescent="0.25">
      <c r="B40" t="s">
        <v>58</v>
      </c>
      <c r="C40" t="s">
        <v>6</v>
      </c>
      <c r="D40" s="41">
        <f>270/213.15</f>
        <v>1.2667135819845179</v>
      </c>
      <c r="G40" t="s">
        <v>9</v>
      </c>
      <c r="H40" t="s">
        <v>6</v>
      </c>
      <c r="I40" s="41">
        <v>0.68</v>
      </c>
      <c r="J40" s="41"/>
    </row>
    <row r="41" spans="1:31" x14ac:dyDescent="0.25">
      <c r="B41" t="s">
        <v>58</v>
      </c>
      <c r="C41" t="s">
        <v>6</v>
      </c>
      <c r="D41" s="41">
        <f>300/213.15</f>
        <v>1.4074595355383532</v>
      </c>
      <c r="G41" t="s">
        <v>9</v>
      </c>
      <c r="H41" t="s">
        <v>6</v>
      </c>
      <c r="I41" s="41">
        <v>1.6</v>
      </c>
      <c r="J41" s="41"/>
    </row>
    <row r="42" spans="1:31" x14ac:dyDescent="0.25">
      <c r="B42" t="s">
        <v>58</v>
      </c>
      <c r="C42" t="s">
        <v>7</v>
      </c>
      <c r="D42" s="41">
        <f>1170/213.15</f>
        <v>5.489092188599578</v>
      </c>
      <c r="G42" t="s">
        <v>12</v>
      </c>
      <c r="H42" t="s">
        <v>1</v>
      </c>
      <c r="I42" s="41">
        <v>2.4</v>
      </c>
      <c r="J42" s="41"/>
    </row>
    <row r="43" spans="1:31" x14ac:dyDescent="0.25">
      <c r="B43" t="s">
        <v>63</v>
      </c>
      <c r="C43" t="s">
        <v>3</v>
      </c>
      <c r="D43" s="41">
        <v>13.6</v>
      </c>
      <c r="G43" t="s">
        <v>12</v>
      </c>
      <c r="H43" t="s">
        <v>1</v>
      </c>
      <c r="I43" s="41">
        <v>2.88</v>
      </c>
      <c r="J43" s="41"/>
    </row>
    <row r="44" spans="1:31" x14ac:dyDescent="0.25">
      <c r="B44" t="s">
        <v>63</v>
      </c>
      <c r="C44" t="s">
        <v>1</v>
      </c>
      <c r="D44" s="41">
        <v>3.2356799300393528</v>
      </c>
      <c r="G44" t="s">
        <v>12</v>
      </c>
      <c r="H44" t="s">
        <v>6</v>
      </c>
      <c r="I44" s="41">
        <v>0.76</v>
      </c>
      <c r="J44" s="41"/>
    </row>
    <row r="45" spans="1:31" x14ac:dyDescent="0.25">
      <c r="B45" t="s">
        <v>63</v>
      </c>
      <c r="C45" t="s">
        <v>1</v>
      </c>
      <c r="D45" s="41">
        <v>3.7603847835592483</v>
      </c>
      <c r="G45" t="s">
        <v>12</v>
      </c>
      <c r="H45" t="s">
        <v>7</v>
      </c>
      <c r="I45" s="41">
        <v>6.57</v>
      </c>
      <c r="J45" s="41"/>
    </row>
    <row r="46" spans="1:31" x14ac:dyDescent="0.25">
      <c r="B46" t="s">
        <v>63</v>
      </c>
      <c r="C46" t="s">
        <v>6</v>
      </c>
      <c r="D46" s="41">
        <f>770/228.7</f>
        <v>3.3668561434193269</v>
      </c>
      <c r="F46" s="44">
        <v>44007</v>
      </c>
      <c r="G46" t="s">
        <v>10</v>
      </c>
      <c r="H46" t="s">
        <v>6</v>
      </c>
      <c r="I46" s="41">
        <f>60/178.12</f>
        <v>0.33685156074556477</v>
      </c>
      <c r="J46" s="41"/>
    </row>
    <row r="47" spans="1:31" x14ac:dyDescent="0.25">
      <c r="B47" t="s">
        <v>63</v>
      </c>
      <c r="C47" t="s">
        <v>7</v>
      </c>
      <c r="D47" s="41">
        <v>7.34</v>
      </c>
      <c r="F47" s="44">
        <v>44007</v>
      </c>
      <c r="G47" t="s">
        <v>10</v>
      </c>
      <c r="H47" t="s">
        <v>6</v>
      </c>
      <c r="I47" s="41">
        <f>80/180.3</f>
        <v>0.44370493621741541</v>
      </c>
      <c r="J47" s="41"/>
    </row>
    <row r="48" spans="1:31" x14ac:dyDescent="0.25">
      <c r="B48" t="s">
        <v>63</v>
      </c>
      <c r="C48" t="s">
        <v>7</v>
      </c>
      <c r="D48" s="41">
        <f>1690/228.7</f>
        <v>7.3895933537385226</v>
      </c>
      <c r="F48" s="44">
        <v>44007</v>
      </c>
      <c r="G48" t="s">
        <v>58</v>
      </c>
      <c r="H48" t="s">
        <v>6</v>
      </c>
      <c r="I48" s="41">
        <f>300/213.15</f>
        <v>1.4074595355383532</v>
      </c>
      <c r="J48" s="41"/>
    </row>
    <row r="49" spans="2:10" x14ac:dyDescent="0.25">
      <c r="B49" t="s">
        <v>65</v>
      </c>
      <c r="C49" t="s">
        <v>3</v>
      </c>
      <c r="D49" s="41">
        <f>3170/251.72</f>
        <v>12.593357699030669</v>
      </c>
      <c r="F49" s="44">
        <v>44007</v>
      </c>
      <c r="G49" t="s">
        <v>58</v>
      </c>
      <c r="H49" t="s">
        <v>6</v>
      </c>
      <c r="I49" s="41">
        <f>270/213.15</f>
        <v>1.2667135819845179</v>
      </c>
      <c r="J49" s="41"/>
    </row>
    <row r="50" spans="2:10" x14ac:dyDescent="0.25">
      <c r="B50" t="s">
        <v>65</v>
      </c>
      <c r="C50" t="s">
        <v>1</v>
      </c>
      <c r="D50" s="41">
        <v>4.8863816939456539</v>
      </c>
      <c r="F50" s="44">
        <v>44007</v>
      </c>
      <c r="G50" t="s">
        <v>57</v>
      </c>
      <c r="H50" t="s">
        <v>6</v>
      </c>
      <c r="I50" s="41">
        <f>610/179.2</f>
        <v>3.4040178571428572</v>
      </c>
      <c r="J50" s="41"/>
    </row>
    <row r="51" spans="2:10" x14ac:dyDescent="0.25">
      <c r="B51" t="s">
        <v>65</v>
      </c>
      <c r="C51" t="s">
        <v>1</v>
      </c>
      <c r="D51" s="41">
        <v>5.2836484983314795</v>
      </c>
      <c r="F51" s="44">
        <v>44007</v>
      </c>
      <c r="G51" t="s">
        <v>57</v>
      </c>
      <c r="H51" t="s">
        <v>6</v>
      </c>
      <c r="I51" s="41">
        <f>660/178.6</f>
        <v>3.6954087346024638</v>
      </c>
      <c r="J51" s="41"/>
    </row>
    <row r="52" spans="2:10" x14ac:dyDescent="0.25">
      <c r="B52" t="s">
        <v>65</v>
      </c>
      <c r="C52" t="s">
        <v>6</v>
      </c>
      <c r="D52" s="41">
        <f>2.94</f>
        <v>2.94</v>
      </c>
      <c r="F52" s="44">
        <v>44007</v>
      </c>
      <c r="G52" t="s">
        <v>59</v>
      </c>
      <c r="H52" t="s">
        <v>6</v>
      </c>
      <c r="I52" s="41">
        <f>140/179.9</f>
        <v>0.77821011673151752</v>
      </c>
      <c r="J52" s="41"/>
    </row>
    <row r="53" spans="2:10" x14ac:dyDescent="0.25">
      <c r="B53" t="s">
        <v>65</v>
      </c>
      <c r="C53" t="s">
        <v>6</v>
      </c>
      <c r="D53" s="41">
        <v>3.06</v>
      </c>
      <c r="F53" s="44">
        <v>44007</v>
      </c>
      <c r="G53" t="s">
        <v>59</v>
      </c>
      <c r="H53" t="s">
        <v>6</v>
      </c>
      <c r="I53" s="41">
        <f>200/179.5</f>
        <v>1.1142061281337048</v>
      </c>
      <c r="J53" s="41"/>
    </row>
    <row r="54" spans="2:10" x14ac:dyDescent="0.25">
      <c r="B54" t="s">
        <v>65</v>
      </c>
      <c r="C54" t="s">
        <v>7</v>
      </c>
      <c r="D54" s="41">
        <f>1870/251.72</f>
        <v>7.4288892420149368</v>
      </c>
      <c r="F54" s="44">
        <v>44007</v>
      </c>
      <c r="G54" t="s">
        <v>8</v>
      </c>
      <c r="H54" t="s">
        <v>6</v>
      </c>
      <c r="I54" s="41">
        <f>410/177.48</f>
        <v>2.3101194500788824</v>
      </c>
      <c r="J54" s="41"/>
    </row>
    <row r="55" spans="2:10" x14ac:dyDescent="0.25">
      <c r="B55" t="s">
        <v>60</v>
      </c>
      <c r="C55" t="s">
        <v>1</v>
      </c>
      <c r="D55" s="45">
        <v>0</v>
      </c>
      <c r="F55" s="44">
        <v>44007</v>
      </c>
      <c r="G55" t="s">
        <v>8</v>
      </c>
      <c r="H55" t="s">
        <v>6</v>
      </c>
      <c r="I55" s="41">
        <f>660/178.6</f>
        <v>3.6954087346024638</v>
      </c>
      <c r="J55" s="41"/>
    </row>
    <row r="56" spans="2:10" x14ac:dyDescent="0.25">
      <c r="B56" t="s">
        <v>60</v>
      </c>
      <c r="C56" t="s">
        <v>1</v>
      </c>
      <c r="D56" s="41">
        <f>60/172</f>
        <v>0.34883720930232559</v>
      </c>
      <c r="F56" s="44">
        <v>44007</v>
      </c>
      <c r="G56">
        <v>148.1</v>
      </c>
      <c r="H56" t="s">
        <v>6</v>
      </c>
      <c r="I56" s="41">
        <f>160/174.99</f>
        <v>0.91433796216926677</v>
      </c>
      <c r="J56" s="41"/>
    </row>
    <row r="57" spans="2:10" x14ac:dyDescent="0.25">
      <c r="B57" t="s">
        <v>60</v>
      </c>
      <c r="C57" t="s">
        <v>6</v>
      </c>
      <c r="D57" s="45">
        <v>0</v>
      </c>
      <c r="F57" s="44">
        <v>44007</v>
      </c>
      <c r="G57">
        <v>148.1</v>
      </c>
      <c r="H57" t="s">
        <v>6</v>
      </c>
      <c r="I57" s="41">
        <f>150/167.66</f>
        <v>0.89466778003101521</v>
      </c>
      <c r="J57" s="41"/>
    </row>
    <row r="58" spans="2:10" x14ac:dyDescent="0.25">
      <c r="B58" t="s">
        <v>60</v>
      </c>
      <c r="C58" t="s">
        <v>6</v>
      </c>
      <c r="D58" s="45">
        <v>0</v>
      </c>
      <c r="F58" s="44">
        <v>44007</v>
      </c>
      <c r="G58" t="s">
        <v>60</v>
      </c>
      <c r="H58" t="s">
        <v>6</v>
      </c>
      <c r="I58" s="45" t="s">
        <v>24</v>
      </c>
      <c r="J58" s="41"/>
    </row>
    <row r="59" spans="2:10" x14ac:dyDescent="0.25">
      <c r="B59" t="s">
        <v>10</v>
      </c>
      <c r="C59" t="s">
        <v>1</v>
      </c>
      <c r="D59" s="45">
        <v>0</v>
      </c>
      <c r="F59" s="44">
        <v>44007</v>
      </c>
      <c r="G59" t="s">
        <v>60</v>
      </c>
      <c r="H59" t="s">
        <v>6</v>
      </c>
      <c r="I59" s="45" t="s">
        <v>24</v>
      </c>
      <c r="J59" s="41"/>
    </row>
    <row r="60" spans="2:10" x14ac:dyDescent="0.25">
      <c r="B60" t="s">
        <v>10</v>
      </c>
      <c r="C60" t="s">
        <v>1</v>
      </c>
      <c r="D60" s="45">
        <v>0</v>
      </c>
      <c r="F60" s="44">
        <v>44008</v>
      </c>
      <c r="G60" t="s">
        <v>57</v>
      </c>
      <c r="H60" t="s">
        <v>7</v>
      </c>
      <c r="I60" s="41">
        <v>6.88</v>
      </c>
      <c r="J60" s="41"/>
    </row>
    <row r="61" spans="2:10" x14ac:dyDescent="0.25">
      <c r="B61" t="s">
        <v>10</v>
      </c>
      <c r="C61" t="s">
        <v>1</v>
      </c>
      <c r="D61" s="41">
        <v>0.65</v>
      </c>
      <c r="F61" s="44">
        <v>44011</v>
      </c>
      <c r="G61" t="s">
        <v>60</v>
      </c>
      <c r="H61" t="s">
        <v>1</v>
      </c>
      <c r="I61" s="41">
        <f>60/172</f>
        <v>0.34883720930232559</v>
      </c>
      <c r="J61" s="41"/>
    </row>
    <row r="62" spans="2:10" x14ac:dyDescent="0.25">
      <c r="B62" t="s">
        <v>10</v>
      </c>
      <c r="C62" t="s">
        <v>6</v>
      </c>
      <c r="D62" s="41">
        <f>60/178.12</f>
        <v>0.33685156074556477</v>
      </c>
      <c r="F62" s="44">
        <v>44011</v>
      </c>
      <c r="G62" t="s">
        <v>60</v>
      </c>
      <c r="H62" t="s">
        <v>1</v>
      </c>
      <c r="I62" s="45" t="s">
        <v>24</v>
      </c>
      <c r="J62" s="41"/>
    </row>
    <row r="63" spans="2:10" x14ac:dyDescent="0.25">
      <c r="B63" t="s">
        <v>10</v>
      </c>
      <c r="C63" t="s">
        <v>6</v>
      </c>
      <c r="D63" s="41">
        <f>80/180.3</f>
        <v>0.44370493621741541</v>
      </c>
      <c r="F63" s="44">
        <v>44012</v>
      </c>
      <c r="G63" t="s">
        <v>59</v>
      </c>
      <c r="H63" t="s">
        <v>1</v>
      </c>
      <c r="I63" s="41">
        <f>220/183.19</f>
        <v>1.2009389158796877</v>
      </c>
      <c r="J63" s="41"/>
    </row>
    <row r="64" spans="2:10" x14ac:dyDescent="0.25">
      <c r="B64" t="s">
        <v>10</v>
      </c>
      <c r="C64" t="s">
        <v>7</v>
      </c>
      <c r="D64" s="41">
        <f>1460/186.86</f>
        <v>7.8133361875200675</v>
      </c>
      <c r="F64" s="44">
        <v>44012</v>
      </c>
      <c r="G64" t="s">
        <v>59</v>
      </c>
      <c r="H64" t="s">
        <v>1</v>
      </c>
      <c r="I64" s="41">
        <f>240/179.5</f>
        <v>1.3370473537604457</v>
      </c>
      <c r="J64" s="41"/>
    </row>
    <row r="65" spans="2:10" x14ac:dyDescent="0.25">
      <c r="B65" t="s">
        <v>8</v>
      </c>
      <c r="C65" t="s">
        <v>3</v>
      </c>
      <c r="D65" s="41">
        <v>14.6</v>
      </c>
      <c r="F65" s="44">
        <v>44012</v>
      </c>
      <c r="G65" t="s">
        <v>58</v>
      </c>
      <c r="H65" t="s">
        <v>1</v>
      </c>
      <c r="I65" s="41">
        <f>380/213.15</f>
        <v>1.7827820783485808</v>
      </c>
      <c r="J65" s="41"/>
    </row>
    <row r="66" spans="2:10" x14ac:dyDescent="0.25">
      <c r="B66" t="s">
        <v>8</v>
      </c>
      <c r="C66" t="s">
        <v>1</v>
      </c>
      <c r="D66" s="41">
        <f>310/189.72</f>
        <v>1.6339869281045751</v>
      </c>
      <c r="F66" s="44">
        <v>44012</v>
      </c>
      <c r="G66" t="s">
        <v>58</v>
      </c>
      <c r="H66" t="s">
        <v>1</v>
      </c>
      <c r="I66" s="41">
        <f>280/213.15</f>
        <v>1.3136288998357963</v>
      </c>
      <c r="J66" s="41"/>
    </row>
    <row r="67" spans="2:10" x14ac:dyDescent="0.25">
      <c r="B67" t="s">
        <v>8</v>
      </c>
      <c r="C67" t="s">
        <v>1</v>
      </c>
      <c r="D67" s="41">
        <f>730/186.76</f>
        <v>3.9087599057614053</v>
      </c>
      <c r="F67" s="44">
        <v>44013</v>
      </c>
      <c r="G67" t="s">
        <v>58</v>
      </c>
      <c r="H67" t="s">
        <v>7</v>
      </c>
      <c r="I67" s="41">
        <f>1170/213.15</f>
        <v>5.489092188599578</v>
      </c>
      <c r="J67" s="41"/>
    </row>
    <row r="68" spans="2:10" x14ac:dyDescent="0.25">
      <c r="B68" t="s">
        <v>8</v>
      </c>
      <c r="C68" t="s">
        <v>6</v>
      </c>
      <c r="D68" s="41">
        <f>410/177.48</f>
        <v>2.3101194500788824</v>
      </c>
      <c r="F68" s="44">
        <v>44015</v>
      </c>
      <c r="G68" t="s">
        <v>63</v>
      </c>
      <c r="H68" t="s">
        <v>3</v>
      </c>
      <c r="I68" s="41">
        <v>13.6</v>
      </c>
      <c r="J68" s="41">
        <v>100</v>
      </c>
    </row>
    <row r="69" spans="2:10" x14ac:dyDescent="0.25">
      <c r="B69" t="s">
        <v>8</v>
      </c>
      <c r="C69" t="s">
        <v>6</v>
      </c>
      <c r="D69" s="41">
        <f>660/178.6</f>
        <v>3.6954087346024638</v>
      </c>
      <c r="F69" s="44">
        <v>44015</v>
      </c>
      <c r="G69" t="s">
        <v>63</v>
      </c>
      <c r="H69" t="s">
        <v>7</v>
      </c>
      <c r="I69" s="41">
        <v>7.34</v>
      </c>
      <c r="J69" s="41">
        <v>0</v>
      </c>
    </row>
    <row r="70" spans="2:10" x14ac:dyDescent="0.25">
      <c r="B70" t="s">
        <v>8</v>
      </c>
      <c r="C70" t="s">
        <v>7</v>
      </c>
      <c r="D70" s="41">
        <v>5.5</v>
      </c>
      <c r="F70" s="44">
        <v>44018</v>
      </c>
      <c r="G70" t="s">
        <v>63</v>
      </c>
      <c r="H70" t="s">
        <v>7</v>
      </c>
      <c r="I70" s="41">
        <f>1690/228.7</f>
        <v>7.3895933537385226</v>
      </c>
      <c r="J70" s="41">
        <v>0</v>
      </c>
    </row>
    <row r="71" spans="2:10" x14ac:dyDescent="0.25">
      <c r="B71" t="s">
        <v>8</v>
      </c>
      <c r="C71" t="s">
        <v>7</v>
      </c>
      <c r="D71" s="41">
        <v>6.36</v>
      </c>
      <c r="F71" s="44">
        <v>44019</v>
      </c>
      <c r="G71" t="s">
        <v>63</v>
      </c>
      <c r="H71" t="s">
        <v>1</v>
      </c>
      <c r="I71" s="41">
        <f>740/228.7</f>
        <v>3.2356799300393528</v>
      </c>
      <c r="J71" s="41">
        <v>0</v>
      </c>
    </row>
    <row r="72" spans="2:10" x14ac:dyDescent="0.25">
      <c r="B72" t="s">
        <v>57</v>
      </c>
      <c r="C72" t="s">
        <v>1</v>
      </c>
      <c r="D72" s="41">
        <f>960/187.7</f>
        <v>5.1145444858817264</v>
      </c>
      <c r="F72" s="44">
        <v>44019</v>
      </c>
      <c r="G72" t="s">
        <v>63</v>
      </c>
      <c r="H72" t="s">
        <v>1</v>
      </c>
      <c r="I72" s="41">
        <f>860/228.7</f>
        <v>3.7603847835592483</v>
      </c>
      <c r="J72" s="41">
        <v>0</v>
      </c>
    </row>
    <row r="73" spans="2:10" x14ac:dyDescent="0.25">
      <c r="B73" t="s">
        <v>57</v>
      </c>
      <c r="C73" t="s">
        <v>1</v>
      </c>
      <c r="D73" s="41">
        <f>1080/186.76</f>
        <v>5.782822874277147</v>
      </c>
      <c r="F73" s="44">
        <v>44020</v>
      </c>
      <c r="G73" t="s">
        <v>63</v>
      </c>
      <c r="H73" t="s">
        <v>6</v>
      </c>
      <c r="I73" s="41">
        <f>770/228.7</f>
        <v>3.3668561434193269</v>
      </c>
      <c r="J73" s="41">
        <v>0</v>
      </c>
    </row>
    <row r="74" spans="2:10" x14ac:dyDescent="0.25">
      <c r="B74" t="s">
        <v>57</v>
      </c>
      <c r="C74" t="s">
        <v>6</v>
      </c>
      <c r="D74" s="41">
        <f>610/179.2</f>
        <v>3.4040178571428572</v>
      </c>
      <c r="F74" s="44">
        <v>44021</v>
      </c>
      <c r="G74" t="s">
        <v>65</v>
      </c>
      <c r="H74" t="s">
        <v>3</v>
      </c>
      <c r="I74" s="41">
        <f>3170/251.72</f>
        <v>12.593357699030669</v>
      </c>
      <c r="J74" s="41">
        <v>100</v>
      </c>
    </row>
    <row r="75" spans="2:10" x14ac:dyDescent="0.25">
      <c r="B75" t="s">
        <v>57</v>
      </c>
      <c r="C75" t="s">
        <v>6</v>
      </c>
      <c r="D75" s="41">
        <f>660/178.6</f>
        <v>3.6954087346024638</v>
      </c>
      <c r="F75" s="44">
        <v>44021</v>
      </c>
      <c r="G75" t="s">
        <v>65</v>
      </c>
      <c r="H75" t="s">
        <v>7</v>
      </c>
      <c r="I75" s="41">
        <f>1870/251.72</f>
        <v>7.4288892420149368</v>
      </c>
      <c r="J75" s="41">
        <v>0</v>
      </c>
    </row>
    <row r="76" spans="2:10" x14ac:dyDescent="0.25">
      <c r="B76" t="s">
        <v>57</v>
      </c>
      <c r="C76" t="s">
        <v>7</v>
      </c>
      <c r="D76" s="41">
        <v>6.88</v>
      </c>
      <c r="F76" s="44">
        <v>44022</v>
      </c>
      <c r="G76" t="s">
        <v>65</v>
      </c>
      <c r="H76" t="s">
        <v>6</v>
      </c>
      <c r="I76" s="41">
        <v>3.06</v>
      </c>
      <c r="J76" s="41">
        <v>0</v>
      </c>
    </row>
    <row r="77" spans="2:10" x14ac:dyDescent="0.25">
      <c r="B77" t="s">
        <v>69</v>
      </c>
      <c r="C77" t="s">
        <v>3</v>
      </c>
      <c r="D77" s="41">
        <f>2600/208.06</f>
        <v>12.49639527059502</v>
      </c>
      <c r="F77" s="44">
        <v>44022</v>
      </c>
      <c r="G77" t="s">
        <v>12</v>
      </c>
      <c r="H77" t="s">
        <v>6</v>
      </c>
      <c r="I77" s="41">
        <f>330/217.756</f>
        <v>1.5154576682158012</v>
      </c>
      <c r="J77" s="41">
        <v>0</v>
      </c>
    </row>
    <row r="78" spans="2:10" x14ac:dyDescent="0.25">
      <c r="B78" t="s">
        <v>69</v>
      </c>
      <c r="C78" t="s">
        <v>1</v>
      </c>
      <c r="D78" s="45">
        <f>0</f>
        <v>0</v>
      </c>
      <c r="F78" s="44">
        <v>44022</v>
      </c>
      <c r="G78" t="s">
        <v>65</v>
      </c>
      <c r="H78" t="s">
        <v>6</v>
      </c>
      <c r="I78" s="41">
        <f>2.94</f>
        <v>2.94</v>
      </c>
      <c r="J78" s="41">
        <v>0</v>
      </c>
    </row>
    <row r="79" spans="2:10" x14ac:dyDescent="0.25">
      <c r="B79" t="s">
        <v>69</v>
      </c>
      <c r="C79" t="s">
        <v>1</v>
      </c>
      <c r="D79" s="41">
        <f>50/208.06</f>
        <v>0.24031529366528886</v>
      </c>
      <c r="F79" s="44">
        <v>44022</v>
      </c>
      <c r="G79" t="s">
        <v>9</v>
      </c>
      <c r="H79" t="s">
        <v>6</v>
      </c>
      <c r="I79" s="41">
        <v>2.44</v>
      </c>
      <c r="J79" s="41">
        <v>0</v>
      </c>
    </row>
    <row r="80" spans="2:10" x14ac:dyDescent="0.25">
      <c r="B80" t="s">
        <v>69</v>
      </c>
      <c r="C80" t="s">
        <v>6</v>
      </c>
      <c r="D80" s="41">
        <f>30/208.6</f>
        <v>0.14381591562799617</v>
      </c>
      <c r="F80" s="44">
        <v>44022</v>
      </c>
      <c r="G80">
        <v>143.1</v>
      </c>
      <c r="H80" t="s">
        <v>6</v>
      </c>
      <c r="I80" s="41">
        <v>0.127</v>
      </c>
      <c r="J80" s="41">
        <v>0</v>
      </c>
    </row>
    <row r="81" spans="2:10" x14ac:dyDescent="0.25">
      <c r="B81" t="s">
        <v>69</v>
      </c>
      <c r="C81" t="s">
        <v>6</v>
      </c>
      <c r="D81" s="41">
        <f>70/209.09</f>
        <v>0.33478406427854035</v>
      </c>
      <c r="F81" s="44">
        <v>44022</v>
      </c>
      <c r="G81" t="s">
        <v>65</v>
      </c>
      <c r="H81" t="s">
        <v>1</v>
      </c>
      <c r="I81" s="41">
        <f>1230/251.72</f>
        <v>4.8863816939456539</v>
      </c>
      <c r="J81" s="41">
        <v>0</v>
      </c>
    </row>
    <row r="82" spans="2:10" x14ac:dyDescent="0.25">
      <c r="B82" t="s">
        <v>69</v>
      </c>
      <c r="C82" t="s">
        <v>7</v>
      </c>
      <c r="D82" s="41">
        <f>1060/210.08</f>
        <v>5.0456968773800455</v>
      </c>
      <c r="F82" s="44">
        <v>44022</v>
      </c>
      <c r="G82" t="s">
        <v>65</v>
      </c>
      <c r="H82" t="s">
        <v>1</v>
      </c>
      <c r="I82" s="41">
        <f>1330/251.72</f>
        <v>5.2836484983314795</v>
      </c>
      <c r="J82" s="41">
        <v>0</v>
      </c>
    </row>
    <row r="83" spans="2:10" x14ac:dyDescent="0.25">
      <c r="B83" t="s">
        <v>68</v>
      </c>
      <c r="C83" t="s">
        <v>3</v>
      </c>
      <c r="D83" s="41">
        <f>3370/221.27</f>
        <v>15.230261671261355</v>
      </c>
      <c r="F83" s="44">
        <v>44026</v>
      </c>
      <c r="G83" t="s">
        <v>66</v>
      </c>
      <c r="H83" t="s">
        <v>1</v>
      </c>
      <c r="I83" s="41">
        <f>730/200</f>
        <v>3.65</v>
      </c>
      <c r="J83" s="41">
        <v>0</v>
      </c>
    </row>
    <row r="84" spans="2:10" x14ac:dyDescent="0.25">
      <c r="B84" t="s">
        <v>68</v>
      </c>
      <c r="C84" t="s">
        <v>1</v>
      </c>
      <c r="D84" s="41">
        <f>590/228.26</f>
        <v>2.5847717515114343</v>
      </c>
      <c r="F84" s="44">
        <v>44026</v>
      </c>
      <c r="G84" t="s">
        <v>66</v>
      </c>
      <c r="H84" t="s">
        <v>1</v>
      </c>
      <c r="I84" s="41">
        <f>680/200</f>
        <v>3.4</v>
      </c>
      <c r="J84" s="41">
        <v>0</v>
      </c>
    </row>
    <row r="85" spans="2:10" x14ac:dyDescent="0.25">
      <c r="B85" t="s">
        <v>68</v>
      </c>
      <c r="C85" t="s">
        <v>1</v>
      </c>
      <c r="D85" s="41">
        <f>650/228.26</f>
        <v>2.8476298957329362</v>
      </c>
      <c r="F85" s="44">
        <v>44026</v>
      </c>
      <c r="G85" t="s">
        <v>67</v>
      </c>
      <c r="H85" t="s">
        <v>1</v>
      </c>
      <c r="I85" s="41">
        <f>620/198</f>
        <v>3.1313131313131315</v>
      </c>
      <c r="J85" s="41">
        <v>0</v>
      </c>
    </row>
    <row r="86" spans="2:10" x14ac:dyDescent="0.25">
      <c r="B86" t="s">
        <v>68</v>
      </c>
      <c r="C86" t="s">
        <v>6</v>
      </c>
      <c r="D86" s="41">
        <f>270/222.2</f>
        <v>1.2151215121512151</v>
      </c>
      <c r="F86" s="44">
        <v>44026</v>
      </c>
      <c r="G86" t="s">
        <v>67</v>
      </c>
      <c r="H86" t="s">
        <v>1</v>
      </c>
      <c r="I86" s="41">
        <f>560/197.1</f>
        <v>2.8411973617453072</v>
      </c>
      <c r="J86" s="41">
        <v>0</v>
      </c>
    </row>
    <row r="87" spans="2:10" x14ac:dyDescent="0.25">
      <c r="B87" t="s">
        <v>68</v>
      </c>
      <c r="C87" t="s">
        <v>6</v>
      </c>
      <c r="D87" s="41">
        <f>240/213.15</f>
        <v>1.1259676284306825</v>
      </c>
      <c r="F87" s="44">
        <v>44027</v>
      </c>
      <c r="G87" t="s">
        <v>66</v>
      </c>
      <c r="H87" t="s">
        <v>7</v>
      </c>
      <c r="I87" s="41">
        <f>1220/200</f>
        <v>6.1</v>
      </c>
      <c r="J87" s="41">
        <v>0</v>
      </c>
    </row>
    <row r="88" spans="2:10" x14ac:dyDescent="0.25">
      <c r="B88" t="s">
        <v>68</v>
      </c>
      <c r="C88" t="s">
        <v>7</v>
      </c>
      <c r="D88" s="41">
        <f>1350/211.12</f>
        <v>6.3944676013641528</v>
      </c>
      <c r="F88" s="44">
        <v>44027</v>
      </c>
      <c r="G88" t="s">
        <v>67</v>
      </c>
      <c r="H88" t="s">
        <v>7</v>
      </c>
      <c r="I88" s="41">
        <f>1220/197.01</f>
        <v>6.1925790569006649</v>
      </c>
      <c r="J88" s="41">
        <v>0</v>
      </c>
    </row>
    <row r="89" spans="2:10" x14ac:dyDescent="0.25">
      <c r="B89" t="s">
        <v>66</v>
      </c>
      <c r="C89" t="s">
        <v>3</v>
      </c>
      <c r="D89" s="41">
        <f>2620/200</f>
        <v>13.1</v>
      </c>
      <c r="F89" s="44">
        <v>44027</v>
      </c>
      <c r="G89" t="s">
        <v>66</v>
      </c>
      <c r="H89" t="s">
        <v>6</v>
      </c>
      <c r="I89" s="41">
        <f>350/200</f>
        <v>1.75</v>
      </c>
      <c r="J89" s="41">
        <v>0</v>
      </c>
    </row>
    <row r="90" spans="2:10" x14ac:dyDescent="0.25">
      <c r="B90" t="s">
        <v>66</v>
      </c>
      <c r="C90" t="s">
        <v>1</v>
      </c>
      <c r="D90" s="41">
        <f>680/200</f>
        <v>3.4</v>
      </c>
      <c r="F90" s="44">
        <v>44027</v>
      </c>
      <c r="G90" t="s">
        <v>66</v>
      </c>
      <c r="H90" t="s">
        <v>6</v>
      </c>
      <c r="I90" s="41">
        <f>300/200</f>
        <v>1.5</v>
      </c>
      <c r="J90" s="41">
        <v>0</v>
      </c>
    </row>
    <row r="91" spans="2:10" x14ac:dyDescent="0.25">
      <c r="B91" t="s">
        <v>66</v>
      </c>
      <c r="C91" t="s">
        <v>1</v>
      </c>
      <c r="D91" s="41">
        <f>730/200</f>
        <v>3.65</v>
      </c>
      <c r="F91" s="44">
        <v>44027</v>
      </c>
      <c r="G91" t="s">
        <v>67</v>
      </c>
      <c r="H91" t="s">
        <v>6</v>
      </c>
      <c r="I91" s="41">
        <f>230/197.01</f>
        <v>1.1674534287599614</v>
      </c>
      <c r="J91" s="41">
        <v>0</v>
      </c>
    </row>
    <row r="92" spans="2:10" x14ac:dyDescent="0.25">
      <c r="B92" t="s">
        <v>66</v>
      </c>
      <c r="C92" t="s">
        <v>6</v>
      </c>
      <c r="D92" s="41">
        <f>240/198</f>
        <v>1.2121212121212122</v>
      </c>
      <c r="F92" s="44">
        <v>44027</v>
      </c>
      <c r="G92" t="s">
        <v>66</v>
      </c>
      <c r="H92" t="s">
        <v>6</v>
      </c>
      <c r="I92" s="41">
        <f>240/198</f>
        <v>1.2121212121212122</v>
      </c>
      <c r="J92" s="41">
        <v>0</v>
      </c>
    </row>
    <row r="93" spans="2:10" x14ac:dyDescent="0.25">
      <c r="B93" t="s">
        <v>66</v>
      </c>
      <c r="C93" t="s">
        <v>6</v>
      </c>
      <c r="D93" s="41">
        <f>300/200</f>
        <v>1.5</v>
      </c>
      <c r="F93" s="44">
        <v>44028</v>
      </c>
      <c r="G93" t="s">
        <v>66</v>
      </c>
      <c r="H93" t="s">
        <v>3</v>
      </c>
      <c r="I93" s="41">
        <f>2620/200</f>
        <v>13.1</v>
      </c>
      <c r="J93" s="41">
        <v>100</v>
      </c>
    </row>
    <row r="94" spans="2:10" x14ac:dyDescent="0.25">
      <c r="B94" t="s">
        <v>66</v>
      </c>
      <c r="C94" t="s">
        <v>6</v>
      </c>
      <c r="D94" s="41">
        <f>350/200</f>
        <v>1.75</v>
      </c>
      <c r="F94" s="44">
        <v>44028</v>
      </c>
      <c r="G94" t="s">
        <v>67</v>
      </c>
      <c r="H94" t="s">
        <v>3</v>
      </c>
      <c r="I94" s="41">
        <f>2400/197.01</f>
        <v>12.182122734886555</v>
      </c>
      <c r="J94" s="41">
        <v>100</v>
      </c>
    </row>
    <row r="95" spans="2:10" x14ac:dyDescent="0.25">
      <c r="B95" t="s">
        <v>66</v>
      </c>
      <c r="C95" t="s">
        <v>7</v>
      </c>
      <c r="D95" s="41">
        <f>1220/200</f>
        <v>6.1</v>
      </c>
      <c r="F95" s="44">
        <v>44040</v>
      </c>
      <c r="G95" t="s">
        <v>68</v>
      </c>
      <c r="H95" t="s">
        <v>7</v>
      </c>
      <c r="I95" s="41">
        <f>1350/211.12</f>
        <v>6.3944676013641528</v>
      </c>
      <c r="J95" s="41">
        <v>0</v>
      </c>
    </row>
    <row r="96" spans="2:10" x14ac:dyDescent="0.25">
      <c r="B96" t="s">
        <v>67</v>
      </c>
      <c r="C96" t="s">
        <v>3</v>
      </c>
      <c r="D96" s="41">
        <f>2400/197.01</f>
        <v>12.182122734886555</v>
      </c>
      <c r="F96" s="44">
        <v>44040</v>
      </c>
      <c r="G96" t="s">
        <v>69</v>
      </c>
      <c r="H96" t="s">
        <v>3</v>
      </c>
      <c r="I96" s="41">
        <f>2600/208.06</f>
        <v>12.49639527059502</v>
      </c>
      <c r="J96" s="41">
        <v>100</v>
      </c>
    </row>
    <row r="97" spans="2:10" x14ac:dyDescent="0.25">
      <c r="B97" t="s">
        <v>67</v>
      </c>
      <c r="C97" t="s">
        <v>1</v>
      </c>
      <c r="D97" s="41">
        <f>560/197.1</f>
        <v>2.8411973617453072</v>
      </c>
      <c r="F97" s="44">
        <v>44040</v>
      </c>
      <c r="G97" t="s">
        <v>68</v>
      </c>
      <c r="H97" t="s">
        <v>3</v>
      </c>
      <c r="I97" s="41">
        <f>3370/221.27</f>
        <v>15.230261671261355</v>
      </c>
      <c r="J97" s="41">
        <v>100</v>
      </c>
    </row>
    <row r="98" spans="2:10" x14ac:dyDescent="0.25">
      <c r="B98" t="s">
        <v>67</v>
      </c>
      <c r="C98" t="s">
        <v>1</v>
      </c>
      <c r="D98" s="41">
        <f>620/198</f>
        <v>3.1313131313131315</v>
      </c>
      <c r="F98" s="44">
        <v>44040</v>
      </c>
      <c r="G98" t="s">
        <v>70</v>
      </c>
      <c r="H98" t="s">
        <v>3</v>
      </c>
      <c r="I98" s="41">
        <f>2460/214.12</f>
        <v>11.488884737530357</v>
      </c>
      <c r="J98" s="41">
        <v>100</v>
      </c>
    </row>
    <row r="99" spans="2:10" x14ac:dyDescent="0.25">
      <c r="B99" t="s">
        <v>67</v>
      </c>
      <c r="C99" t="s">
        <v>6</v>
      </c>
      <c r="D99" s="41">
        <f>230/197.01</f>
        <v>1.1674534287599614</v>
      </c>
      <c r="F99" s="44">
        <v>44040</v>
      </c>
      <c r="G99" t="s">
        <v>69</v>
      </c>
      <c r="H99" t="s">
        <v>1</v>
      </c>
      <c r="I99" s="45">
        <f>0</f>
        <v>0</v>
      </c>
      <c r="J99" s="41">
        <v>0</v>
      </c>
    </row>
    <row r="100" spans="2:10" x14ac:dyDescent="0.25">
      <c r="B100" t="s">
        <v>67</v>
      </c>
      <c r="C100" t="s">
        <v>7</v>
      </c>
      <c r="D100" s="41">
        <f>1220/197.01</f>
        <v>6.1925790569006649</v>
      </c>
      <c r="F100" s="44">
        <v>44040</v>
      </c>
      <c r="G100" t="s">
        <v>69</v>
      </c>
      <c r="H100" t="s">
        <v>1</v>
      </c>
      <c r="I100" s="41">
        <f>50/208.06</f>
        <v>0.24031529366528886</v>
      </c>
      <c r="J100" s="41">
        <v>0</v>
      </c>
    </row>
    <row r="101" spans="2:10" x14ac:dyDescent="0.25">
      <c r="B101" t="s">
        <v>70</v>
      </c>
      <c r="C101" t="s">
        <v>3</v>
      </c>
      <c r="D101" s="41">
        <f>2460/214.12</f>
        <v>11.488884737530357</v>
      </c>
      <c r="F101" s="44">
        <v>44040</v>
      </c>
      <c r="G101" t="s">
        <v>68</v>
      </c>
      <c r="H101" t="s">
        <v>1</v>
      </c>
      <c r="I101" s="41">
        <f>590/228.26</f>
        <v>2.5847717515114343</v>
      </c>
      <c r="J101" s="41">
        <v>0</v>
      </c>
    </row>
    <row r="102" spans="2:10" x14ac:dyDescent="0.25">
      <c r="B102" t="s">
        <v>70</v>
      </c>
      <c r="C102" t="s">
        <v>1</v>
      </c>
      <c r="D102" s="41">
        <f>660/214.12</f>
        <v>3.08238371006912</v>
      </c>
      <c r="F102" s="44">
        <v>44040</v>
      </c>
      <c r="G102" t="s">
        <v>68</v>
      </c>
      <c r="H102" t="s">
        <v>1</v>
      </c>
      <c r="I102" s="41">
        <f>650/228.26</f>
        <v>2.8476298957329362</v>
      </c>
      <c r="J102" s="41">
        <v>0</v>
      </c>
    </row>
    <row r="103" spans="2:10" x14ac:dyDescent="0.25">
      <c r="B103" t="s">
        <v>70</v>
      </c>
      <c r="C103" t="s">
        <v>1</v>
      </c>
      <c r="D103" s="41">
        <f>780/214.12</f>
        <v>3.6428171118998693</v>
      </c>
      <c r="F103" s="44">
        <v>44040</v>
      </c>
      <c r="G103" t="s">
        <v>70</v>
      </c>
      <c r="H103" t="s">
        <v>1</v>
      </c>
      <c r="I103" s="41">
        <f>660/214.12</f>
        <v>3.08238371006912</v>
      </c>
      <c r="J103" s="41">
        <v>0</v>
      </c>
    </row>
    <row r="104" spans="2:10" x14ac:dyDescent="0.25">
      <c r="B104" t="s">
        <v>70</v>
      </c>
      <c r="C104" t="s">
        <v>6</v>
      </c>
      <c r="D104" s="41">
        <f>280/214.12</f>
        <v>1.3076779376050813</v>
      </c>
      <c r="F104" s="44">
        <v>44040</v>
      </c>
      <c r="G104" t="s">
        <v>70</v>
      </c>
      <c r="H104" t="s">
        <v>1</v>
      </c>
      <c r="I104" s="41">
        <f>780/214.12</f>
        <v>3.6428171118998693</v>
      </c>
      <c r="J104" s="41">
        <v>0</v>
      </c>
    </row>
    <row r="105" spans="2:10" x14ac:dyDescent="0.25">
      <c r="B105" t="s">
        <v>70</v>
      </c>
      <c r="C105" t="s">
        <v>6</v>
      </c>
      <c r="D105" s="41">
        <f>350/214.12</f>
        <v>1.6345974220063515</v>
      </c>
      <c r="F105" s="44">
        <v>44036</v>
      </c>
      <c r="G105" t="s">
        <v>70</v>
      </c>
      <c r="H105" t="s">
        <v>7</v>
      </c>
      <c r="I105" s="41">
        <f>1240/214.12</f>
        <v>5.7911451522510742</v>
      </c>
      <c r="J105" s="41">
        <v>0</v>
      </c>
    </row>
    <row r="106" spans="2:10" x14ac:dyDescent="0.25">
      <c r="B106" t="s">
        <v>70</v>
      </c>
      <c r="C106" t="s">
        <v>7</v>
      </c>
      <c r="D106" s="41">
        <f>1240/214.12</f>
        <v>5.7911451522510742</v>
      </c>
      <c r="F106" s="44">
        <v>44041</v>
      </c>
      <c r="G106" t="s">
        <v>69</v>
      </c>
      <c r="H106" t="s">
        <v>7</v>
      </c>
      <c r="I106" s="41">
        <f>1060/210.08</f>
        <v>5.0456968773800455</v>
      </c>
      <c r="J106" s="41">
        <v>0</v>
      </c>
    </row>
    <row r="107" spans="2:10" x14ac:dyDescent="0.25">
      <c r="B107" t="s">
        <v>54</v>
      </c>
      <c r="C107" t="s">
        <v>3</v>
      </c>
      <c r="D107" s="41">
        <v>16.2</v>
      </c>
      <c r="F107" s="44">
        <v>44042</v>
      </c>
      <c r="G107" t="s">
        <v>69</v>
      </c>
      <c r="H107" t="s">
        <v>6</v>
      </c>
      <c r="I107" s="41">
        <f>30/208.6</f>
        <v>0.14381591562799617</v>
      </c>
      <c r="J107" s="41">
        <v>0</v>
      </c>
    </row>
    <row r="108" spans="2:10" x14ac:dyDescent="0.25">
      <c r="B108" t="s">
        <v>54</v>
      </c>
      <c r="C108" t="s">
        <v>1</v>
      </c>
      <c r="D108" s="41">
        <v>2.84</v>
      </c>
      <c r="F108" s="44">
        <v>44042</v>
      </c>
      <c r="G108" t="s">
        <v>69</v>
      </c>
      <c r="H108" t="s">
        <v>6</v>
      </c>
      <c r="I108" s="41">
        <f>70/209.09</f>
        <v>0.33478406427854035</v>
      </c>
      <c r="J108" s="41">
        <v>0</v>
      </c>
    </row>
    <row r="109" spans="2:10" x14ac:dyDescent="0.25">
      <c r="B109" t="s">
        <v>54</v>
      </c>
      <c r="C109" t="s">
        <v>1</v>
      </c>
      <c r="D109" s="41">
        <v>2.98</v>
      </c>
      <c r="F109" s="44">
        <v>44042</v>
      </c>
      <c r="G109" t="s">
        <v>68</v>
      </c>
      <c r="H109" t="s">
        <v>6</v>
      </c>
      <c r="I109" s="41">
        <f>270/222.2</f>
        <v>1.2151215121512151</v>
      </c>
      <c r="J109" s="41">
        <v>0</v>
      </c>
    </row>
    <row r="110" spans="2:10" x14ac:dyDescent="0.25">
      <c r="B110" t="s">
        <v>54</v>
      </c>
      <c r="C110" t="s">
        <v>6</v>
      </c>
      <c r="D110" s="41">
        <f>300/208</f>
        <v>1.4423076923076923</v>
      </c>
      <c r="F110" s="44">
        <v>44042</v>
      </c>
      <c r="G110" t="s">
        <v>68</v>
      </c>
      <c r="H110" t="s">
        <v>6</v>
      </c>
      <c r="I110" s="41">
        <f>240/213.15</f>
        <v>1.1259676284306825</v>
      </c>
      <c r="J110" s="41">
        <v>0</v>
      </c>
    </row>
    <row r="111" spans="2:10" x14ac:dyDescent="0.25">
      <c r="B111" t="s">
        <v>54</v>
      </c>
      <c r="C111" t="s">
        <v>7</v>
      </c>
      <c r="D111" s="41">
        <f>1400/208</f>
        <v>6.7307692307692308</v>
      </c>
      <c r="F111" s="44">
        <v>44042</v>
      </c>
      <c r="G111" t="s">
        <v>70</v>
      </c>
      <c r="H111" t="s">
        <v>6</v>
      </c>
      <c r="I111" s="41">
        <f>280/214.12</f>
        <v>1.3076779376050813</v>
      </c>
      <c r="J111" s="41">
        <v>0</v>
      </c>
    </row>
    <row r="112" spans="2:10" x14ac:dyDescent="0.25">
      <c r="B112" t="s">
        <v>54</v>
      </c>
      <c r="C112" t="s">
        <v>7</v>
      </c>
      <c r="D112" s="41">
        <f>1800/208</f>
        <v>8.6538461538461533</v>
      </c>
      <c r="F112" s="44">
        <v>44042</v>
      </c>
      <c r="G112" t="s">
        <v>70</v>
      </c>
      <c r="H112" t="s">
        <v>6</v>
      </c>
      <c r="I112" s="41">
        <f>350/214.12</f>
        <v>1.6345974220063515</v>
      </c>
      <c r="J112" s="41">
        <v>0</v>
      </c>
    </row>
    <row r="113" spans="2:10" x14ac:dyDescent="0.25">
      <c r="B113" t="s">
        <v>0</v>
      </c>
      <c r="C113" t="s">
        <v>3</v>
      </c>
      <c r="D113" s="41">
        <v>13.5</v>
      </c>
      <c r="F113" s="44">
        <v>44047</v>
      </c>
      <c r="G113">
        <v>149.1</v>
      </c>
      <c r="H113" s="46" t="s">
        <v>3</v>
      </c>
      <c r="I113" s="41">
        <f>2910/215</f>
        <v>13.534883720930232</v>
      </c>
      <c r="J113" s="41">
        <v>100</v>
      </c>
    </row>
    <row r="114" spans="2:10" x14ac:dyDescent="0.25">
      <c r="B114" t="s">
        <v>0</v>
      </c>
      <c r="C114" t="s">
        <v>1</v>
      </c>
      <c r="D114" s="41">
        <v>0.19</v>
      </c>
      <c r="F114" s="44">
        <v>44047</v>
      </c>
      <c r="G114">
        <v>149.1</v>
      </c>
      <c r="H114" t="s">
        <v>7</v>
      </c>
      <c r="I114" s="41">
        <f>1160/215</f>
        <v>5.3953488372093021</v>
      </c>
      <c r="J114" s="41">
        <v>0</v>
      </c>
    </row>
    <row r="115" spans="2:10" x14ac:dyDescent="0.25">
      <c r="B115" t="s">
        <v>0</v>
      </c>
      <c r="C115" t="s">
        <v>1</v>
      </c>
      <c r="D115" s="41">
        <v>0.28999999999999998</v>
      </c>
      <c r="F115" s="44">
        <v>44049</v>
      </c>
      <c r="G115">
        <v>149.1</v>
      </c>
      <c r="H115" t="s">
        <v>6</v>
      </c>
      <c r="I115" s="41">
        <f>440/215</f>
        <v>2.0465116279069768</v>
      </c>
      <c r="J115" s="41">
        <v>0</v>
      </c>
    </row>
    <row r="116" spans="2:10" x14ac:dyDescent="0.25">
      <c r="B116" t="s">
        <v>0</v>
      </c>
      <c r="C116" t="s">
        <v>6</v>
      </c>
      <c r="D116" s="41">
        <v>0.34</v>
      </c>
      <c r="F116" s="44">
        <v>44049</v>
      </c>
      <c r="G116">
        <v>149.1</v>
      </c>
      <c r="H116" t="s">
        <v>6</v>
      </c>
      <c r="I116" s="41">
        <f>530/215</f>
        <v>2.4651162790697674</v>
      </c>
      <c r="J116" s="41">
        <v>0</v>
      </c>
    </row>
    <row r="117" spans="2:10" x14ac:dyDescent="0.25">
      <c r="B117" t="s">
        <v>0</v>
      </c>
      <c r="C117" t="s">
        <v>7</v>
      </c>
      <c r="D117" s="41">
        <v>5.0999999999999996</v>
      </c>
      <c r="F117" s="44">
        <v>44054</v>
      </c>
      <c r="G117">
        <v>150.1</v>
      </c>
      <c r="H117" t="s">
        <v>3</v>
      </c>
      <c r="I117" s="41">
        <f>2970/212</f>
        <v>14.009433962264151</v>
      </c>
      <c r="J117" s="41">
        <v>100</v>
      </c>
    </row>
    <row r="118" spans="2:10" x14ac:dyDescent="0.25">
      <c r="B118" t="s">
        <v>9</v>
      </c>
      <c r="C118" t="s">
        <v>1</v>
      </c>
      <c r="D118" s="41">
        <v>0.56999999999999995</v>
      </c>
      <c r="F118" s="44">
        <v>44054</v>
      </c>
      <c r="G118">
        <v>150.1</v>
      </c>
      <c r="H118" t="s">
        <v>7</v>
      </c>
      <c r="I118" s="41">
        <f>870/214</f>
        <v>4.0654205607476639</v>
      </c>
      <c r="J118" s="41">
        <v>0</v>
      </c>
    </row>
    <row r="119" spans="2:10" x14ac:dyDescent="0.25">
      <c r="B119" t="s">
        <v>9</v>
      </c>
      <c r="C119" t="s">
        <v>6</v>
      </c>
      <c r="D119" s="41">
        <v>0.68</v>
      </c>
      <c r="F119" s="44">
        <v>44054</v>
      </c>
      <c r="G119">
        <v>150.1</v>
      </c>
      <c r="H119" t="s">
        <v>6</v>
      </c>
      <c r="I119" s="41">
        <f>380/212</f>
        <v>1.7924528301886793</v>
      </c>
      <c r="J119" s="41">
        <v>0</v>
      </c>
    </row>
    <row r="120" spans="2:10" x14ac:dyDescent="0.25">
      <c r="B120" t="s">
        <v>9</v>
      </c>
      <c r="C120" t="s">
        <v>6</v>
      </c>
      <c r="D120" s="41">
        <v>1.6</v>
      </c>
      <c r="F120" s="44">
        <v>44054</v>
      </c>
      <c r="G120">
        <v>150.1</v>
      </c>
      <c r="H120" t="s">
        <v>6</v>
      </c>
      <c r="I120" s="41">
        <f>420/218</f>
        <v>1.926605504587156</v>
      </c>
      <c r="J120" s="41">
        <v>0</v>
      </c>
    </row>
    <row r="121" spans="2:10" x14ac:dyDescent="0.25">
      <c r="B121" t="s">
        <v>9</v>
      </c>
      <c r="C121" t="s">
        <v>6</v>
      </c>
      <c r="D121" s="41">
        <v>2.44</v>
      </c>
      <c r="F121" s="44">
        <v>44060</v>
      </c>
      <c r="G121">
        <v>150.1</v>
      </c>
      <c r="H121" t="s">
        <v>1</v>
      </c>
      <c r="I121" s="41">
        <f>810/216</f>
        <v>3.75</v>
      </c>
      <c r="J121" s="41">
        <v>0</v>
      </c>
    </row>
    <row r="122" spans="2:10" x14ac:dyDescent="0.25">
      <c r="B122" t="s">
        <v>12</v>
      </c>
      <c r="C122" t="s">
        <v>1</v>
      </c>
      <c r="D122" s="41">
        <v>2.4</v>
      </c>
      <c r="F122" s="44">
        <v>44060</v>
      </c>
      <c r="G122">
        <v>150.1</v>
      </c>
      <c r="H122" t="s">
        <v>1</v>
      </c>
      <c r="I122" s="41">
        <f>820/212</f>
        <v>3.8679245283018866</v>
      </c>
      <c r="J122" s="41">
        <v>0</v>
      </c>
    </row>
    <row r="123" spans="2:10" x14ac:dyDescent="0.25">
      <c r="B123" t="s">
        <v>12</v>
      </c>
      <c r="C123" t="s">
        <v>1</v>
      </c>
      <c r="D123" s="41">
        <v>2.88</v>
      </c>
      <c r="F123" s="44">
        <v>44060</v>
      </c>
      <c r="G123">
        <v>148.1</v>
      </c>
      <c r="H123" t="s">
        <v>3</v>
      </c>
      <c r="I123" s="41">
        <v>13.4</v>
      </c>
      <c r="J123" s="41">
        <v>100</v>
      </c>
    </row>
    <row r="124" spans="2:10" x14ac:dyDescent="0.25">
      <c r="B124" t="s">
        <v>12</v>
      </c>
      <c r="C124" t="s">
        <v>6</v>
      </c>
      <c r="D124" s="41">
        <v>0.76</v>
      </c>
      <c r="F124" s="44">
        <v>44060</v>
      </c>
      <c r="G124">
        <v>148.1</v>
      </c>
      <c r="H124" t="s">
        <v>7</v>
      </c>
      <c r="I124" s="41">
        <f>900/176.88</f>
        <v>5.0881953867028491</v>
      </c>
      <c r="J124" s="41">
        <v>0</v>
      </c>
    </row>
    <row r="125" spans="2:10" x14ac:dyDescent="0.25">
      <c r="B125" t="s">
        <v>12</v>
      </c>
      <c r="C125" t="s">
        <v>6</v>
      </c>
      <c r="D125" s="41">
        <f>330/217.756</f>
        <v>1.5154576682158012</v>
      </c>
      <c r="F125" s="44">
        <v>44064</v>
      </c>
      <c r="G125">
        <v>148.1</v>
      </c>
      <c r="H125" t="s">
        <v>1</v>
      </c>
      <c r="I125" s="41">
        <f>290/172</f>
        <v>1.6860465116279071</v>
      </c>
      <c r="J125" s="41">
        <v>0</v>
      </c>
    </row>
    <row r="126" spans="2:10" x14ac:dyDescent="0.25">
      <c r="B126" t="s">
        <v>12</v>
      </c>
      <c r="C126" t="s">
        <v>7</v>
      </c>
      <c r="D126" s="41">
        <v>6.57</v>
      </c>
      <c r="F126" s="44">
        <v>44064</v>
      </c>
      <c r="G126">
        <v>148.1</v>
      </c>
      <c r="H126" t="s">
        <v>1</v>
      </c>
      <c r="I126" s="41">
        <f>350/174</f>
        <v>2.0114942528735633</v>
      </c>
      <c r="J126" s="41">
        <v>0</v>
      </c>
    </row>
  </sheetData>
  <mergeCells count="43">
    <mergeCell ref="Q3:R3"/>
    <mergeCell ref="M2:S2"/>
    <mergeCell ref="U6:U8"/>
    <mergeCell ref="U9:U10"/>
    <mergeCell ref="U11:U13"/>
    <mergeCell ref="U2:Z2"/>
    <mergeCell ref="W3:Z3"/>
    <mergeCell ref="X6:X8"/>
    <mergeCell ref="W6:W8"/>
    <mergeCell ref="Y6:Y8"/>
    <mergeCell ref="Z6:Z8"/>
    <mergeCell ref="Z9:Z10"/>
    <mergeCell ref="Y11:Y13"/>
    <mergeCell ref="Z11:Z13"/>
    <mergeCell ref="W11:W13"/>
    <mergeCell ref="X11:X13"/>
    <mergeCell ref="U3:V3"/>
    <mergeCell ref="W14:W16"/>
    <mergeCell ref="W17:W20"/>
    <mergeCell ref="X14:X16"/>
    <mergeCell ref="Y14:Y16"/>
    <mergeCell ref="X17:X20"/>
    <mergeCell ref="Y17:Y20"/>
    <mergeCell ref="U14:U16"/>
    <mergeCell ref="U17:U20"/>
    <mergeCell ref="W9:W10"/>
    <mergeCell ref="X9:X10"/>
    <mergeCell ref="Y9:Y10"/>
    <mergeCell ref="V26:V30"/>
    <mergeCell ref="U23:Z23"/>
    <mergeCell ref="U24:V24"/>
    <mergeCell ref="W24:Z24"/>
    <mergeCell ref="Z14:Z16"/>
    <mergeCell ref="Z17:Z20"/>
    <mergeCell ref="M27:S27"/>
    <mergeCell ref="M28:S28"/>
    <mergeCell ref="M29:S29"/>
    <mergeCell ref="M30:S30"/>
    <mergeCell ref="M22:S22"/>
    <mergeCell ref="M23:S23"/>
    <mergeCell ref="M24:S24"/>
    <mergeCell ref="M25:S25"/>
    <mergeCell ref="M26:S26"/>
  </mergeCells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C8FC-F53D-4AEE-8217-E600DDE8DE22}">
  <dimension ref="A3:F30"/>
  <sheetViews>
    <sheetView workbookViewId="0">
      <selection activeCell="D24" sqref="D24"/>
    </sheetView>
  </sheetViews>
  <sheetFormatPr defaultRowHeight="15" x14ac:dyDescent="0.25"/>
  <cols>
    <col min="1" max="1" width="14.42578125" bestFit="1" customWidth="1"/>
    <col min="2" max="2" width="5.5703125" bestFit="1" customWidth="1"/>
    <col min="3" max="5" width="12" bestFit="1" customWidth="1"/>
    <col min="6" max="6" width="11.28515625" bestFit="1" customWidth="1"/>
    <col min="7" max="7" width="9.42578125" bestFit="1" customWidth="1"/>
    <col min="8" max="8" width="6.85546875" bestFit="1" customWidth="1"/>
    <col min="9" max="9" width="9.42578125" bestFit="1" customWidth="1"/>
    <col min="10" max="10" width="6.85546875" bestFit="1" customWidth="1"/>
    <col min="11" max="11" width="9.42578125" bestFit="1" customWidth="1"/>
    <col min="12" max="12" width="5.85546875" bestFit="1" customWidth="1"/>
    <col min="13" max="13" width="8.42578125" bestFit="1" customWidth="1"/>
    <col min="14" max="14" width="6.85546875" bestFit="1" customWidth="1"/>
    <col min="15" max="15" width="9.42578125" bestFit="1" customWidth="1"/>
    <col min="16" max="16" width="6.85546875" bestFit="1" customWidth="1"/>
    <col min="17" max="17" width="9.42578125" bestFit="1" customWidth="1"/>
    <col min="18" max="18" width="6.85546875" bestFit="1" customWidth="1"/>
    <col min="19" max="19" width="9.42578125" bestFit="1" customWidth="1"/>
    <col min="20" max="20" width="6.85546875" bestFit="1" customWidth="1"/>
    <col min="21" max="21" width="9.42578125" bestFit="1" customWidth="1"/>
    <col min="22" max="22" width="6.85546875" bestFit="1" customWidth="1"/>
    <col min="23" max="23" width="9.42578125" bestFit="1" customWidth="1"/>
    <col min="24" max="24" width="5.85546875" bestFit="1" customWidth="1"/>
    <col min="25" max="25" width="8.42578125" bestFit="1" customWidth="1"/>
    <col min="26" max="26" width="6.85546875" bestFit="1" customWidth="1"/>
    <col min="27" max="27" width="9.42578125" bestFit="1" customWidth="1"/>
    <col min="28" max="28" width="5.85546875" bestFit="1" customWidth="1"/>
    <col min="29" max="29" width="8.42578125" bestFit="1" customWidth="1"/>
    <col min="30" max="30" width="5.85546875" bestFit="1" customWidth="1"/>
    <col min="31" max="31" width="8.42578125" bestFit="1" customWidth="1"/>
    <col min="32" max="32" width="6.85546875" bestFit="1" customWidth="1"/>
    <col min="33" max="33" width="9.42578125" bestFit="1" customWidth="1"/>
    <col min="34" max="34" width="6.28515625" bestFit="1" customWidth="1"/>
    <col min="35" max="35" width="8.42578125" bestFit="1" customWidth="1"/>
    <col min="36" max="36" width="6.28515625" bestFit="1" customWidth="1"/>
    <col min="37" max="37" width="8.42578125" bestFit="1" customWidth="1"/>
    <col min="38" max="38" width="6.28515625" bestFit="1" customWidth="1"/>
    <col min="39" max="39" width="8.42578125" bestFit="1" customWidth="1"/>
    <col min="40" max="40" width="6.28515625" bestFit="1" customWidth="1"/>
    <col min="41" max="41" width="8.42578125" bestFit="1" customWidth="1"/>
    <col min="42" max="42" width="6.85546875" bestFit="1" customWidth="1"/>
    <col min="43" max="43" width="9.42578125" bestFit="1" customWidth="1"/>
    <col min="44" max="44" width="6.85546875" bestFit="1" customWidth="1"/>
    <col min="45" max="45" width="9.42578125" bestFit="1" customWidth="1"/>
    <col min="46" max="46" width="6.85546875" bestFit="1" customWidth="1"/>
    <col min="47" max="47" width="9.42578125" bestFit="1" customWidth="1"/>
    <col min="48" max="48" width="6.85546875" bestFit="1" customWidth="1"/>
    <col min="49" max="49" width="9.42578125" bestFit="1" customWidth="1"/>
    <col min="50" max="50" width="9.5703125" bestFit="1" customWidth="1"/>
    <col min="51" max="51" width="12.5703125" bestFit="1" customWidth="1"/>
    <col min="52" max="52" width="11.28515625" bestFit="1" customWidth="1"/>
  </cols>
  <sheetData>
    <row r="3" spans="1:6" x14ac:dyDescent="0.25">
      <c r="A3" s="1" t="s">
        <v>62</v>
      </c>
    </row>
    <row r="4" spans="1:6" x14ac:dyDescent="0.25">
      <c r="B4" s="42" t="s">
        <v>3</v>
      </c>
      <c r="C4" s="42" t="s">
        <v>1</v>
      </c>
      <c r="D4" s="42" t="s">
        <v>6</v>
      </c>
      <c r="E4" s="42" t="s">
        <v>7</v>
      </c>
      <c r="F4" s="42" t="s">
        <v>11</v>
      </c>
    </row>
    <row r="5" spans="1:6" x14ac:dyDescent="0.25">
      <c r="A5" s="2">
        <v>140.1</v>
      </c>
      <c r="B5" s="43">
        <v>14.75</v>
      </c>
      <c r="C5" s="43">
        <v>2.76</v>
      </c>
      <c r="D5" s="43"/>
      <c r="E5" s="43">
        <v>3.8</v>
      </c>
      <c r="F5" s="43">
        <v>14.75</v>
      </c>
    </row>
    <row r="6" spans="1:6" x14ac:dyDescent="0.25">
      <c r="A6" s="2">
        <v>142.1</v>
      </c>
      <c r="B6" s="43">
        <v>12.7</v>
      </c>
      <c r="C6" s="43">
        <v>1.65</v>
      </c>
      <c r="D6" s="43"/>
      <c r="E6" s="43">
        <v>3.2</v>
      </c>
      <c r="F6" s="43">
        <v>12.7</v>
      </c>
    </row>
    <row r="7" spans="1:6" x14ac:dyDescent="0.25">
      <c r="A7" s="2">
        <v>143.1</v>
      </c>
      <c r="B7" s="43">
        <v>14.5</v>
      </c>
      <c r="C7" s="43">
        <v>0.64</v>
      </c>
      <c r="D7" s="43">
        <v>0.127</v>
      </c>
      <c r="E7" s="43">
        <v>6.3</v>
      </c>
      <c r="F7" s="43">
        <v>14.5</v>
      </c>
    </row>
    <row r="8" spans="1:6" x14ac:dyDescent="0.25">
      <c r="A8" s="2">
        <v>148.1</v>
      </c>
      <c r="B8" s="43">
        <v>13.4</v>
      </c>
      <c r="C8" s="43">
        <v>2.0114942528735633</v>
      </c>
      <c r="D8" s="43">
        <v>0.91433796216926677</v>
      </c>
      <c r="E8" s="43">
        <v>5.0881953867028491</v>
      </c>
      <c r="F8" s="43">
        <v>13.4</v>
      </c>
    </row>
    <row r="9" spans="1:6" x14ac:dyDescent="0.25">
      <c r="A9" s="2">
        <v>149.1</v>
      </c>
      <c r="B9" s="43">
        <v>13.534883720930232</v>
      </c>
      <c r="C9" s="43"/>
      <c r="D9" s="43">
        <v>2.4651162790697674</v>
      </c>
      <c r="E9" s="43">
        <v>5.3953488372093021</v>
      </c>
      <c r="F9" s="43">
        <v>13.534883720930232</v>
      </c>
    </row>
    <row r="10" spans="1:6" x14ac:dyDescent="0.25">
      <c r="A10" s="2">
        <v>150.1</v>
      </c>
      <c r="B10" s="43">
        <v>14.009433962264151</v>
      </c>
      <c r="C10" s="43">
        <v>3.8679245283018866</v>
      </c>
      <c r="D10" s="43">
        <v>1.926605504587156</v>
      </c>
      <c r="E10" s="43">
        <v>4.0654205607476639</v>
      </c>
      <c r="F10" s="43">
        <v>14.009433962264151</v>
      </c>
    </row>
    <row r="11" spans="1:6" x14ac:dyDescent="0.25">
      <c r="A11" s="2">
        <v>315.60000000000002</v>
      </c>
      <c r="B11" s="43"/>
      <c r="C11" s="43"/>
      <c r="D11" s="43">
        <v>0</v>
      </c>
      <c r="E11" s="43"/>
      <c r="F11" s="43">
        <v>0</v>
      </c>
    </row>
    <row r="12" spans="1:6" x14ac:dyDescent="0.25">
      <c r="A12" s="2">
        <v>3153.6</v>
      </c>
      <c r="B12" s="43"/>
      <c r="C12" s="43">
        <v>0.33</v>
      </c>
      <c r="D12" s="43"/>
      <c r="E12" s="43"/>
      <c r="F12" s="43">
        <v>0.33</v>
      </c>
    </row>
    <row r="13" spans="1:6" x14ac:dyDescent="0.25">
      <c r="A13" s="2" t="s">
        <v>59</v>
      </c>
      <c r="B13" s="43"/>
      <c r="C13" s="43">
        <v>1.3370473537604457</v>
      </c>
      <c r="D13" s="43">
        <v>1.1142061281337048</v>
      </c>
      <c r="E13" s="43"/>
      <c r="F13" s="43">
        <v>1.3370473537604457</v>
      </c>
    </row>
    <row r="14" spans="1:6" x14ac:dyDescent="0.25">
      <c r="A14" s="2" t="s">
        <v>58</v>
      </c>
      <c r="B14" s="43"/>
      <c r="C14" s="43">
        <v>1.7827820783485808</v>
      </c>
      <c r="D14" s="43">
        <v>1.4074595355383532</v>
      </c>
      <c r="E14" s="43">
        <v>5.489092188599578</v>
      </c>
      <c r="F14" s="43">
        <v>5.489092188599578</v>
      </c>
    </row>
    <row r="15" spans="1:6" x14ac:dyDescent="0.25">
      <c r="A15" s="2" t="s">
        <v>63</v>
      </c>
      <c r="B15" s="43">
        <v>13.6</v>
      </c>
      <c r="C15" s="43">
        <v>3.7603847835592483</v>
      </c>
      <c r="D15" s="43">
        <v>3.3668561434193269</v>
      </c>
      <c r="E15" s="43">
        <v>7.3895933537385226</v>
      </c>
      <c r="F15" s="43">
        <v>13.6</v>
      </c>
    </row>
    <row r="16" spans="1:6" x14ac:dyDescent="0.25">
      <c r="A16" s="2" t="s">
        <v>65</v>
      </c>
      <c r="B16" s="43">
        <v>12.593357699030669</v>
      </c>
      <c r="C16" s="43">
        <v>5.2836484983314795</v>
      </c>
      <c r="D16" s="43">
        <v>3.06</v>
      </c>
      <c r="E16" s="43">
        <v>7.4288892420149368</v>
      </c>
      <c r="F16" s="43">
        <v>12.593357699030669</v>
      </c>
    </row>
    <row r="17" spans="1:6" x14ac:dyDescent="0.25">
      <c r="A17" s="2" t="s">
        <v>60</v>
      </c>
      <c r="B17" s="43"/>
      <c r="C17" s="43">
        <v>0.34883720930232559</v>
      </c>
      <c r="D17" s="43">
        <v>0</v>
      </c>
      <c r="E17" s="43"/>
      <c r="F17" s="43">
        <v>0.34883720930232559</v>
      </c>
    </row>
    <row r="18" spans="1:6" x14ac:dyDescent="0.25">
      <c r="A18" s="2" t="s">
        <v>10</v>
      </c>
      <c r="B18" s="43"/>
      <c r="C18" s="43">
        <v>0.65</v>
      </c>
      <c r="D18" s="43">
        <v>0.44370493621741541</v>
      </c>
      <c r="E18" s="43">
        <v>7.8133361875200675</v>
      </c>
      <c r="F18" s="43">
        <v>7.8133361875200675</v>
      </c>
    </row>
    <row r="19" spans="1:6" x14ac:dyDescent="0.25">
      <c r="A19" s="2" t="s">
        <v>8</v>
      </c>
      <c r="B19" s="43">
        <v>14.6</v>
      </c>
      <c r="C19" s="43">
        <v>3.9087599057614053</v>
      </c>
      <c r="D19" s="43">
        <v>3.6954087346024638</v>
      </c>
      <c r="E19" s="43">
        <v>6.36</v>
      </c>
      <c r="F19" s="43">
        <v>14.6</v>
      </c>
    </row>
    <row r="20" spans="1:6" x14ac:dyDescent="0.25">
      <c r="A20" s="2" t="s">
        <v>57</v>
      </c>
      <c r="B20" s="43"/>
      <c r="C20" s="43">
        <v>5.782822874277147</v>
      </c>
      <c r="D20" s="43">
        <v>3.6954087346024638</v>
      </c>
      <c r="E20" s="43">
        <v>6.88</v>
      </c>
      <c r="F20" s="43">
        <v>6.88</v>
      </c>
    </row>
    <row r="21" spans="1:6" x14ac:dyDescent="0.25">
      <c r="A21" s="2" t="s">
        <v>69</v>
      </c>
      <c r="B21" s="43">
        <v>12.49639527059502</v>
      </c>
      <c r="C21" s="43">
        <v>0.24031529366528886</v>
      </c>
      <c r="D21" s="43">
        <v>0.33478406427854035</v>
      </c>
      <c r="E21" s="43">
        <v>5.0456968773800455</v>
      </c>
      <c r="F21" s="43">
        <v>12.49639527059502</v>
      </c>
    </row>
    <row r="22" spans="1:6" x14ac:dyDescent="0.25">
      <c r="A22" s="2" t="s">
        <v>68</v>
      </c>
      <c r="B22" s="43">
        <v>15.230261671261355</v>
      </c>
      <c r="C22" s="43">
        <v>2.8476298957329362</v>
      </c>
      <c r="D22" s="43">
        <v>1.2151215121512151</v>
      </c>
      <c r="E22" s="43">
        <v>6.3944676013641528</v>
      </c>
      <c r="F22" s="43">
        <v>15.230261671261355</v>
      </c>
    </row>
    <row r="23" spans="1:6" x14ac:dyDescent="0.25">
      <c r="A23" s="2" t="s">
        <v>66</v>
      </c>
      <c r="B23" s="43">
        <v>13.1</v>
      </c>
      <c r="C23" s="43">
        <v>3.65</v>
      </c>
      <c r="D23" s="43">
        <v>1.75</v>
      </c>
      <c r="E23" s="43">
        <v>6.1</v>
      </c>
      <c r="F23" s="43">
        <v>13.1</v>
      </c>
    </row>
    <row r="24" spans="1:6" x14ac:dyDescent="0.25">
      <c r="A24" s="2" t="s">
        <v>67</v>
      </c>
      <c r="B24" s="43">
        <v>12.182122734886555</v>
      </c>
      <c r="C24" s="43">
        <v>3.1313131313131315</v>
      </c>
      <c r="D24" s="43">
        <v>1.1674534287599614</v>
      </c>
      <c r="E24" s="43">
        <v>6.1925790569006649</v>
      </c>
      <c r="F24" s="43">
        <v>12.182122734886555</v>
      </c>
    </row>
    <row r="25" spans="1:6" x14ac:dyDescent="0.25">
      <c r="A25" s="2" t="s">
        <v>70</v>
      </c>
      <c r="B25" s="43">
        <v>11.488884737530357</v>
      </c>
      <c r="C25" s="43">
        <v>3.6428171118998693</v>
      </c>
      <c r="D25" s="43">
        <v>1.6345974220063515</v>
      </c>
      <c r="E25" s="43">
        <v>5.7911451522510742</v>
      </c>
      <c r="F25" s="43">
        <v>11.488884737530357</v>
      </c>
    </row>
    <row r="26" spans="1:6" x14ac:dyDescent="0.25">
      <c r="A26" s="2" t="s">
        <v>54</v>
      </c>
      <c r="B26" s="43">
        <v>16.2</v>
      </c>
      <c r="C26" s="43">
        <v>2.98</v>
      </c>
      <c r="D26" s="43">
        <v>1.4423076923076923</v>
      </c>
      <c r="E26" s="43">
        <v>8.6538461538461533</v>
      </c>
      <c r="F26" s="43">
        <v>16.2</v>
      </c>
    </row>
    <row r="27" spans="1:6" x14ac:dyDescent="0.25">
      <c r="A27" s="2" t="s">
        <v>0</v>
      </c>
      <c r="B27" s="43">
        <v>13.5</v>
      </c>
      <c r="C27" s="43">
        <v>0.28999999999999998</v>
      </c>
      <c r="D27" s="43">
        <v>0.34</v>
      </c>
      <c r="E27" s="43">
        <v>5.0999999999999996</v>
      </c>
      <c r="F27" s="43">
        <v>13.5</v>
      </c>
    </row>
    <row r="28" spans="1:6" x14ac:dyDescent="0.25">
      <c r="A28" s="2" t="s">
        <v>9</v>
      </c>
      <c r="B28" s="43"/>
      <c r="C28" s="43">
        <v>0.56999999999999995</v>
      </c>
      <c r="D28" s="43">
        <v>2.44</v>
      </c>
      <c r="E28" s="43"/>
      <c r="F28" s="43">
        <v>2.44</v>
      </c>
    </row>
    <row r="29" spans="1:6" x14ac:dyDescent="0.25">
      <c r="A29" s="2" t="s">
        <v>12</v>
      </c>
      <c r="B29" s="43"/>
      <c r="C29" s="43">
        <v>2.88</v>
      </c>
      <c r="D29" s="43">
        <v>1.5154576682158012</v>
      </c>
      <c r="E29" s="43">
        <v>6.57</v>
      </c>
      <c r="F29" s="43">
        <v>6.57</v>
      </c>
    </row>
    <row r="30" spans="1:6" x14ac:dyDescent="0.25">
      <c r="A30" s="2" t="s">
        <v>11</v>
      </c>
      <c r="B30" s="3">
        <v>16.2</v>
      </c>
      <c r="C30" s="3">
        <v>5.782822874277147</v>
      </c>
      <c r="D30" s="3">
        <v>3.6954087346024638</v>
      </c>
      <c r="E30" s="3">
        <v>8.6538461538461533</v>
      </c>
      <c r="F30" s="3">
        <v>16.2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</dc:creator>
  <cp:lastModifiedBy>Cosmin</cp:lastModifiedBy>
  <cp:lastPrinted>2020-08-17T11:28:49Z</cp:lastPrinted>
  <dcterms:created xsi:type="dcterms:W3CDTF">2020-06-02T05:09:26Z</dcterms:created>
  <dcterms:modified xsi:type="dcterms:W3CDTF">2020-08-21T09:50:37Z</dcterms:modified>
</cp:coreProperties>
</file>