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D:\Software\3.Proyectos\Mileto\costos\"/>
    </mc:Choice>
  </mc:AlternateContent>
  <xr:revisionPtr revIDLastSave="0" documentId="13_ncr:1_{55CF3C24-FEA9-4A44-83E4-206CF423E6DC}" xr6:coauthVersionLast="47" xr6:coauthVersionMax="47" xr10:uidLastSave="{00000000-0000-0000-0000-000000000000}"/>
  <bookViews>
    <workbookView xWindow="-98" yWindow="-98" windowWidth="28996" windowHeight="15675" tabRatio="795" activeTab="10" xr2:uid="{00000000-000D-0000-FFFF-FFFF00000000}"/>
  </bookViews>
  <sheets>
    <sheet name="Enunciado" sheetId="14" r:id="rId1"/>
    <sheet name="Proye Deman" sheetId="21" r:id="rId2"/>
    <sheet name="Proy Vtas" sheetId="6" r:id="rId3"/>
    <sheet name="Costos Detalle" sheetId="24" r:id="rId4"/>
    <sheet name="Inversiones" sheetId="5" r:id="rId5"/>
    <sheet name="Costos" sheetId="15" r:id="rId6"/>
    <sheet name="Costo Unitario" sheetId="1" r:id="rId7"/>
    <sheet name="Costos totales" sheetId="16" r:id="rId8"/>
    <sheet name="PVenta" sheetId="8" r:id="rId9"/>
    <sheet name="PEq" sheetId="20" r:id="rId10"/>
    <sheet name="FCE" sheetId="9" r:id="rId11"/>
    <sheet name="Cronogr pag" sheetId="17" r:id="rId12"/>
    <sheet name="PFin" sheetId="10" r:id="rId13"/>
    <sheet name="FCF" sheetId="19" r:id="rId14"/>
  </sheets>
  <externalReferences>
    <externalReference r:id="rId15"/>
  </externalReferences>
  <definedNames>
    <definedName name="_xlnm.Print_Area" localSheetId="6">'Costo Unitario'!$C$15:$I$61</definedName>
    <definedName name="_xlnm.Print_Area" localSheetId="7">'Costos totales'!$B$1:$R$21</definedName>
    <definedName name="_xlnm.Print_Area" localSheetId="10">FCE!$B$1:$O$19</definedName>
    <definedName name="_xlnm.Print_Area" localSheetId="13">FCF!$B$1:$O$1</definedName>
    <definedName name="_xlnm.Print_Area" localSheetId="4">Inversiones!$A$1:$E$62</definedName>
    <definedName name="_xlnm.Print_Area" localSheetId="12">PFin!$B$2:$O$17</definedName>
    <definedName name="_xlnm.Print_Area" localSheetId="2">'Proy Vtas'!$B$1:$R$22</definedName>
    <definedName name="_xlnm.Print_Area" localSheetId="8">PVenta!$A$2:$J$20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3" i="24" l="1"/>
  <c r="E13" i="24"/>
  <c r="F13" i="24"/>
  <c r="G13" i="24"/>
  <c r="H13" i="24"/>
  <c r="I13" i="24"/>
  <c r="J13" i="24"/>
  <c r="K13" i="24"/>
  <c r="L13" i="24"/>
  <c r="M13" i="24"/>
  <c r="N13" i="24"/>
  <c r="C13" i="24"/>
  <c r="D12" i="24"/>
  <c r="E12" i="24"/>
  <c r="F12" i="24"/>
  <c r="G12" i="24"/>
  <c r="H12" i="24"/>
  <c r="I12" i="24"/>
  <c r="J12" i="24"/>
  <c r="K12" i="24"/>
  <c r="L12" i="24"/>
  <c r="M12" i="24"/>
  <c r="N12" i="24"/>
  <c r="C12" i="24"/>
  <c r="E29" i="5" l="1"/>
  <c r="E30" i="5"/>
  <c r="E31" i="5"/>
  <c r="E32" i="5"/>
  <c r="E33" i="5"/>
  <c r="E34" i="5"/>
  <c r="E35" i="5"/>
  <c r="E36" i="5"/>
  <c r="E37" i="5"/>
  <c r="E38" i="5"/>
  <c r="E39" i="5"/>
  <c r="E12" i="5"/>
  <c r="D13" i="21"/>
  <c r="E13" i="21" s="1"/>
  <c r="F13" i="21" s="1"/>
  <c r="G13" i="21" s="1"/>
  <c r="O16" i="21"/>
  <c r="C15" i="21" l="1"/>
  <c r="C6" i="21"/>
  <c r="C7" i="21" s="1"/>
  <c r="C16" i="21" s="1"/>
  <c r="D16" i="21" s="1"/>
  <c r="E16" i="21" s="1"/>
  <c r="F16" i="21" s="1"/>
  <c r="G16" i="21" s="1"/>
  <c r="D15" i="21" l="1"/>
  <c r="G31" i="19"/>
  <c r="D18" i="21" l="1"/>
  <c r="D21" i="21" s="1"/>
  <c r="D20" i="21" s="1"/>
  <c r="C18" i="21"/>
  <c r="C21" i="21" s="1"/>
  <c r="C20" i="21" s="1"/>
  <c r="E15" i="21"/>
  <c r="D19" i="21" l="1"/>
  <c r="E18" i="21"/>
  <c r="E21" i="21" s="1"/>
  <c r="E20" i="21" s="1"/>
  <c r="F15" i="21"/>
  <c r="C19" i="21"/>
  <c r="E40" i="5"/>
  <c r="E41" i="5"/>
  <c r="E42" i="5"/>
  <c r="E43" i="5"/>
  <c r="E44" i="5"/>
  <c r="E45" i="5"/>
  <c r="E46" i="5"/>
  <c r="E47" i="5"/>
  <c r="E48" i="5"/>
  <c r="E59" i="5"/>
  <c r="E19" i="21" l="1"/>
  <c r="G15" i="21"/>
  <c r="G18" i="21" s="1"/>
  <c r="G21" i="21" s="1"/>
  <c r="G20" i="21" s="1"/>
  <c r="F18" i="21"/>
  <c r="F21" i="21" s="1"/>
  <c r="F20" i="21" s="1"/>
  <c r="C21" i="14"/>
  <c r="D23" i="14" s="1"/>
  <c r="C54" i="14" s="1"/>
  <c r="E54" i="14" s="1"/>
  <c r="C44" i="19" s="1"/>
  <c r="C45" i="19" s="1"/>
  <c r="G7" i="15"/>
  <c r="D14" i="8"/>
  <c r="R13" i="6" s="1"/>
  <c r="R14" i="6"/>
  <c r="R36" i="6" s="1"/>
  <c r="R58" i="6" s="1"/>
  <c r="R15" i="6"/>
  <c r="P126" i="9"/>
  <c r="L126" i="9"/>
  <c r="F72" i="15"/>
  <c r="H6" i="10"/>
  <c r="G79" i="15"/>
  <c r="G64" i="15"/>
  <c r="G49" i="15"/>
  <c r="G10" i="15"/>
  <c r="G14" i="15"/>
  <c r="C14" i="6"/>
  <c r="C13" i="16" s="1"/>
  <c r="J12" i="6"/>
  <c r="J34" i="6" s="1"/>
  <c r="J56" i="6" s="1"/>
  <c r="N13" i="6"/>
  <c r="N12" i="16" s="1"/>
  <c r="C14" i="16"/>
  <c r="C15" i="16"/>
  <c r="C16" i="16"/>
  <c r="G78" i="15"/>
  <c r="E77" i="15"/>
  <c r="E76" i="15"/>
  <c r="G76" i="15" s="1"/>
  <c r="E75" i="15"/>
  <c r="G75" i="15" s="1"/>
  <c r="E74" i="15"/>
  <c r="E73" i="15"/>
  <c r="E72" i="15"/>
  <c r="E71" i="15"/>
  <c r="E70" i="15"/>
  <c r="G70" i="15" s="1"/>
  <c r="E69" i="15"/>
  <c r="E68" i="15"/>
  <c r="E67" i="15"/>
  <c r="E66" i="15"/>
  <c r="E65" i="15"/>
  <c r="F77" i="15"/>
  <c r="F74" i="15"/>
  <c r="F73" i="15"/>
  <c r="F71" i="15"/>
  <c r="F69" i="15"/>
  <c r="F68" i="15"/>
  <c r="F67" i="15"/>
  <c r="F66" i="15"/>
  <c r="F65" i="15"/>
  <c r="G81" i="15"/>
  <c r="G82" i="15"/>
  <c r="G83" i="15"/>
  <c r="G84" i="15"/>
  <c r="G85" i="15"/>
  <c r="G87" i="15"/>
  <c r="G88" i="15"/>
  <c r="G89" i="15"/>
  <c r="G90" i="15"/>
  <c r="G91" i="15"/>
  <c r="G93" i="15"/>
  <c r="G94" i="15"/>
  <c r="G95" i="15"/>
  <c r="G96" i="15"/>
  <c r="G97" i="15"/>
  <c r="C109" i="15"/>
  <c r="D109" i="15"/>
  <c r="F109" i="15" s="1"/>
  <c r="C110" i="15"/>
  <c r="D110" i="15"/>
  <c r="F110" i="15" s="1"/>
  <c r="C111" i="15"/>
  <c r="D111" i="15"/>
  <c r="F111" i="15" s="1"/>
  <c r="G61" i="15"/>
  <c r="G60" i="15"/>
  <c r="G58" i="15"/>
  <c r="M103" i="15"/>
  <c r="G55" i="15"/>
  <c r="G53" i="15"/>
  <c r="G46" i="15"/>
  <c r="G45" i="15"/>
  <c r="G44" i="15"/>
  <c r="G43" i="15"/>
  <c r="G41" i="15"/>
  <c r="G40" i="15"/>
  <c r="G35" i="15"/>
  <c r="G54" i="15"/>
  <c r="G63" i="15"/>
  <c r="G39" i="15"/>
  <c r="G48" i="15"/>
  <c r="G36" i="15"/>
  <c r="G15" i="15"/>
  <c r="G16" i="15"/>
  <c r="G17" i="15"/>
  <c r="G18" i="15"/>
  <c r="I30" i="5"/>
  <c r="J30" i="5" s="1"/>
  <c r="I33" i="5"/>
  <c r="J33" i="5" s="1"/>
  <c r="I34" i="5"/>
  <c r="J34" i="5" s="1"/>
  <c r="I36" i="5"/>
  <c r="J36" i="5" s="1"/>
  <c r="I40" i="5"/>
  <c r="J40" i="5" s="1"/>
  <c r="I41" i="5"/>
  <c r="J41" i="5" s="1"/>
  <c r="I42" i="5"/>
  <c r="J42" i="5" s="1"/>
  <c r="I43" i="5"/>
  <c r="J43" i="5" s="1"/>
  <c r="G18" i="5"/>
  <c r="G19" i="5"/>
  <c r="G20" i="5"/>
  <c r="G21" i="5"/>
  <c r="G24" i="5"/>
  <c r="G25" i="5"/>
  <c r="G26" i="5"/>
  <c r="G22" i="5"/>
  <c r="G23" i="5"/>
  <c r="I20" i="5"/>
  <c r="J20" i="5" s="1"/>
  <c r="I22" i="5"/>
  <c r="J22" i="5" s="1"/>
  <c r="B4" i="8"/>
  <c r="B19" i="8"/>
  <c r="B8" i="20" s="1"/>
  <c r="B34" i="8"/>
  <c r="B9" i="20" s="1"/>
  <c r="B47" i="8"/>
  <c r="G5" i="15"/>
  <c r="G6" i="15"/>
  <c r="G8" i="15"/>
  <c r="G9" i="15"/>
  <c r="G11" i="15"/>
  <c r="G12" i="15"/>
  <c r="G13" i="15"/>
  <c r="G19" i="15"/>
  <c r="G20" i="15"/>
  <c r="G21" i="15"/>
  <c r="G22" i="15"/>
  <c r="G23" i="15"/>
  <c r="G24" i="15"/>
  <c r="G12" i="5"/>
  <c r="G13" i="5"/>
  <c r="I14" i="5"/>
  <c r="J14" i="5" s="1"/>
  <c r="G14" i="5"/>
  <c r="G15" i="5"/>
  <c r="I16" i="5"/>
  <c r="J16" i="5" s="1"/>
  <c r="G16" i="5"/>
  <c r="I17" i="5"/>
  <c r="J17" i="5" s="1"/>
  <c r="E57" i="5"/>
  <c r="E58" i="5"/>
  <c r="G27" i="15"/>
  <c r="G28" i="15"/>
  <c r="G29" i="15"/>
  <c r="E9" i="20"/>
  <c r="E8" i="20"/>
  <c r="C37" i="6"/>
  <c r="C33" i="16" s="1"/>
  <c r="R16" i="6"/>
  <c r="R38" i="6" s="1"/>
  <c r="C38" i="6"/>
  <c r="C60" i="6" s="1"/>
  <c r="C82" i="6" s="1"/>
  <c r="C104" i="6" s="1"/>
  <c r="C92" i="16" s="1"/>
  <c r="R17" i="6"/>
  <c r="D26" i="6" s="1"/>
  <c r="C39" i="6"/>
  <c r="C35" i="16" s="1"/>
  <c r="R18" i="6"/>
  <c r="G27" i="6" s="1"/>
  <c r="R40" i="6"/>
  <c r="N49" i="6" s="1"/>
  <c r="D37" i="6"/>
  <c r="D59" i="6"/>
  <c r="D81" i="6" s="1"/>
  <c r="D103" i="6" s="1"/>
  <c r="D38" i="6"/>
  <c r="D60" i="6"/>
  <c r="D39" i="6"/>
  <c r="D35" i="16" s="1"/>
  <c r="D61" i="6"/>
  <c r="D83" i="6" s="1"/>
  <c r="E37" i="6"/>
  <c r="E59" i="6"/>
  <c r="E38" i="6"/>
  <c r="E34" i="16" s="1"/>
  <c r="E39" i="6"/>
  <c r="E61" i="6" s="1"/>
  <c r="E55" i="16" s="1"/>
  <c r="F37" i="6"/>
  <c r="F59" i="6"/>
  <c r="F81" i="6" s="1"/>
  <c r="F38" i="6"/>
  <c r="F60" i="6" s="1"/>
  <c r="F39" i="6"/>
  <c r="F61" i="6" s="1"/>
  <c r="G37" i="6"/>
  <c r="G59" i="6" s="1"/>
  <c r="G38" i="6"/>
  <c r="G60" i="6" s="1"/>
  <c r="G82" i="6" s="1"/>
  <c r="G39" i="6"/>
  <c r="G61" i="6" s="1"/>
  <c r="G83" i="6" s="1"/>
  <c r="G105" i="6" s="1"/>
  <c r="G93" i="16" s="1"/>
  <c r="H37" i="6"/>
  <c r="H59" i="6" s="1"/>
  <c r="H81" i="6" s="1"/>
  <c r="H38" i="6"/>
  <c r="H34" i="16" s="1"/>
  <c r="H60" i="6"/>
  <c r="H39" i="6"/>
  <c r="I37" i="6"/>
  <c r="I38" i="6"/>
  <c r="I60" i="6" s="1"/>
  <c r="I39" i="6"/>
  <c r="I61" i="6" s="1"/>
  <c r="I55" i="16" s="1"/>
  <c r="J37" i="6"/>
  <c r="J59" i="6" s="1"/>
  <c r="J81" i="6"/>
  <c r="J72" i="16" s="1"/>
  <c r="J38" i="6"/>
  <c r="J34" i="16" s="1"/>
  <c r="J39" i="6"/>
  <c r="K37" i="6"/>
  <c r="K59" i="6" s="1"/>
  <c r="K81" i="6" s="1"/>
  <c r="K38" i="6"/>
  <c r="K34" i="16" s="1"/>
  <c r="K60" i="6"/>
  <c r="K39" i="6"/>
  <c r="L37" i="6"/>
  <c r="L59" i="6" s="1"/>
  <c r="L38" i="6"/>
  <c r="L60" i="6" s="1"/>
  <c r="L54" i="16" s="1"/>
  <c r="L39" i="6"/>
  <c r="L49" i="6" s="1"/>
  <c r="M37" i="6"/>
  <c r="M38" i="6"/>
  <c r="M60" i="6" s="1"/>
  <c r="M54" i="16" s="1"/>
  <c r="M39" i="6"/>
  <c r="N37" i="6"/>
  <c r="N33" i="16" s="1"/>
  <c r="N38" i="6"/>
  <c r="N34" i="16" s="1"/>
  <c r="N39" i="6"/>
  <c r="N61" i="6" s="1"/>
  <c r="C54" i="16"/>
  <c r="H53" i="16"/>
  <c r="J53" i="16"/>
  <c r="K54" i="16"/>
  <c r="N55" i="16"/>
  <c r="C34" i="16"/>
  <c r="D33" i="16"/>
  <c r="D34" i="16"/>
  <c r="E33" i="16"/>
  <c r="E35" i="16"/>
  <c r="F33" i="16"/>
  <c r="G33" i="16"/>
  <c r="G34" i="16"/>
  <c r="J33" i="16"/>
  <c r="L33" i="16"/>
  <c r="N35" i="16"/>
  <c r="C27" i="6"/>
  <c r="D27" i="6"/>
  <c r="F25" i="6"/>
  <c r="F26" i="6"/>
  <c r="H26" i="6"/>
  <c r="K27" i="6"/>
  <c r="L27" i="6"/>
  <c r="D14" i="16"/>
  <c r="D15" i="16"/>
  <c r="D16" i="16"/>
  <c r="E14" i="16"/>
  <c r="E15" i="16"/>
  <c r="E16" i="16"/>
  <c r="F14" i="16"/>
  <c r="F15" i="16"/>
  <c r="F16" i="16"/>
  <c r="G14" i="16"/>
  <c r="G15" i="16"/>
  <c r="G16" i="16"/>
  <c r="H14" i="16"/>
  <c r="H15" i="16"/>
  <c r="H16" i="16"/>
  <c r="I14" i="16"/>
  <c r="I15" i="16"/>
  <c r="I16" i="16"/>
  <c r="J11" i="16"/>
  <c r="J14" i="16"/>
  <c r="J15" i="16"/>
  <c r="J16" i="16"/>
  <c r="K14" i="16"/>
  <c r="K15" i="16"/>
  <c r="K16" i="16"/>
  <c r="L14" i="16"/>
  <c r="L15" i="16"/>
  <c r="L16" i="16"/>
  <c r="M14" i="16"/>
  <c r="M15" i="16"/>
  <c r="M16" i="16"/>
  <c r="N14" i="16"/>
  <c r="N15" i="16"/>
  <c r="N16" i="16"/>
  <c r="B39" i="6"/>
  <c r="B49" i="6" s="1"/>
  <c r="B61" i="6" s="1"/>
  <c r="B38" i="6"/>
  <c r="B48" i="6" s="1"/>
  <c r="B60" i="6" s="1"/>
  <c r="Q61" i="6" s="1"/>
  <c r="B37" i="6"/>
  <c r="B47" i="6" s="1"/>
  <c r="B59" i="6" s="1"/>
  <c r="B36" i="6"/>
  <c r="B46" i="6" s="1"/>
  <c r="B58" i="6" s="1"/>
  <c r="B80" i="6" s="1"/>
  <c r="B90" i="6" s="1"/>
  <c r="B102" i="6" s="1"/>
  <c r="B112" i="6" s="1"/>
  <c r="B35" i="6"/>
  <c r="B45" i="6" s="1"/>
  <c r="B57" i="6" s="1"/>
  <c r="B79" i="6" s="1"/>
  <c r="B89" i="6" s="1"/>
  <c r="B101" i="6" s="1"/>
  <c r="B111" i="6" s="1"/>
  <c r="B34" i="6"/>
  <c r="B44" i="6" s="1"/>
  <c r="B56" i="6" s="1"/>
  <c r="B78" i="6" s="1"/>
  <c r="B88" i="6" s="1"/>
  <c r="B100" i="6" s="1"/>
  <c r="B110" i="6" s="1"/>
  <c r="B137" i="6" s="1"/>
  <c r="B146" i="6" s="1"/>
  <c r="G17" i="5"/>
  <c r="AK14" i="1"/>
  <c r="AD14" i="1"/>
  <c r="W14" i="1"/>
  <c r="B6" i="1"/>
  <c r="P14" i="1" s="1"/>
  <c r="B5" i="1"/>
  <c r="I14" i="1" s="1"/>
  <c r="B4" i="1"/>
  <c r="B14" i="1" s="1"/>
  <c r="I18" i="5"/>
  <c r="J18" i="5" s="1"/>
  <c r="I23" i="5"/>
  <c r="J23" i="5" s="1"/>
  <c r="I24" i="5"/>
  <c r="J24" i="5" s="1"/>
  <c r="I65" i="15"/>
  <c r="C108" i="15" s="1"/>
  <c r="I50" i="15"/>
  <c r="C107" i="15" s="1"/>
  <c r="X28" i="6"/>
  <c r="Y28" i="6"/>
  <c r="Z28" i="6"/>
  <c r="AA28" i="6"/>
  <c r="AB28" i="6"/>
  <c r="AC28" i="6"/>
  <c r="AD28" i="6"/>
  <c r="AE28" i="6"/>
  <c r="AF28" i="6"/>
  <c r="AG28" i="6"/>
  <c r="AH28" i="6"/>
  <c r="W28" i="6"/>
  <c r="AH24" i="6"/>
  <c r="AH25" i="6" s="1"/>
  <c r="AH30" i="6" s="1"/>
  <c r="AG24" i="6"/>
  <c r="AG25" i="6" s="1"/>
  <c r="AG30" i="6" s="1"/>
  <c r="AF24" i="6"/>
  <c r="AE24" i="6"/>
  <c r="AE25" i="6"/>
  <c r="AE30" i="6" s="1"/>
  <c r="AD24" i="6"/>
  <c r="AD25" i="6" s="1"/>
  <c r="AD30" i="6" s="1"/>
  <c r="AC24" i="6"/>
  <c r="AC25" i="6"/>
  <c r="AC30" i="6" s="1"/>
  <c r="AB24" i="6"/>
  <c r="AB25" i="6" s="1"/>
  <c r="AB30" i="6" s="1"/>
  <c r="AA24" i="6"/>
  <c r="AA25" i="6" s="1"/>
  <c r="AA30" i="6" s="1"/>
  <c r="Z24" i="6"/>
  <c r="Z25" i="6" s="1"/>
  <c r="Z30" i="6" s="1"/>
  <c r="Y24" i="6"/>
  <c r="Y29" i="6" s="1"/>
  <c r="Y25" i="6"/>
  <c r="Y30" i="6" s="1"/>
  <c r="X24" i="6"/>
  <c r="X25" i="6" s="1"/>
  <c r="X30" i="6" s="1"/>
  <c r="W24" i="6"/>
  <c r="W29" i="6" s="1"/>
  <c r="W25" i="6"/>
  <c r="W30" i="6" s="1"/>
  <c r="I35" i="15"/>
  <c r="C106" i="15" s="1"/>
  <c r="AG29" i="6"/>
  <c r="AE29" i="6"/>
  <c r="AC29" i="6"/>
  <c r="G32" i="5"/>
  <c r="G33" i="5"/>
  <c r="G34" i="5"/>
  <c r="G35" i="5"/>
  <c r="I35" i="5" s="1"/>
  <c r="J35" i="5" s="1"/>
  <c r="G36" i="5"/>
  <c r="G37" i="5"/>
  <c r="I37" i="5" s="1"/>
  <c r="J37" i="5" s="1"/>
  <c r="G38" i="5"/>
  <c r="G39" i="5"/>
  <c r="G40" i="5"/>
  <c r="G41" i="5"/>
  <c r="G42" i="5"/>
  <c r="G43" i="5"/>
  <c r="B76" i="8"/>
  <c r="B61" i="8"/>
  <c r="D106" i="9"/>
  <c r="E106" i="9"/>
  <c r="F106" i="9"/>
  <c r="G106" i="9"/>
  <c r="H106" i="9"/>
  <c r="B12" i="16"/>
  <c r="B31" i="16" s="1"/>
  <c r="B51" i="16" s="1"/>
  <c r="B70" i="16" s="1"/>
  <c r="B89" i="16" s="1"/>
  <c r="B13" i="16"/>
  <c r="B32" i="16" s="1"/>
  <c r="B52" i="16" s="1"/>
  <c r="B71" i="16" s="1"/>
  <c r="B90" i="16" s="1"/>
  <c r="B14" i="16"/>
  <c r="B33" i="16" s="1"/>
  <c r="B53" i="16" s="1"/>
  <c r="B72" i="16" s="1"/>
  <c r="B91" i="16" s="1"/>
  <c r="B15" i="16"/>
  <c r="B34" i="16" s="1"/>
  <c r="B54" i="16" s="1"/>
  <c r="B73" i="16" s="1"/>
  <c r="B92" i="16" s="1"/>
  <c r="B16" i="16"/>
  <c r="B35" i="16" s="1"/>
  <c r="B55" i="16" s="1"/>
  <c r="B74" i="16" s="1"/>
  <c r="B93" i="16" s="1"/>
  <c r="B17" i="16"/>
  <c r="B11" i="16"/>
  <c r="B30" i="16" s="1"/>
  <c r="B50" i="16" s="1"/>
  <c r="B69" i="16" s="1"/>
  <c r="B88" i="16" s="1"/>
  <c r="W78" i="6"/>
  <c r="B106" i="6"/>
  <c r="B40" i="6"/>
  <c r="B62" i="6"/>
  <c r="B84" i="6"/>
  <c r="S14" i="16"/>
  <c r="S33" i="16" s="1"/>
  <c r="AN40" i="1"/>
  <c r="Z40" i="1"/>
  <c r="AG40" i="1"/>
  <c r="Q18" i="6"/>
  <c r="Q17" i="16" s="1"/>
  <c r="Q36" i="16" s="1"/>
  <c r="Q56" i="16" s="1"/>
  <c r="Q75" i="16" s="1"/>
  <c r="Q94" i="16" s="1"/>
  <c r="Q17" i="6"/>
  <c r="Q16" i="16" s="1"/>
  <c r="Q35" i="16" s="1"/>
  <c r="Q55" i="16" s="1"/>
  <c r="Q74" i="16" s="1"/>
  <c r="Q93" i="16" s="1"/>
  <c r="Q16" i="6"/>
  <c r="Q15" i="16" s="1"/>
  <c r="Q34" i="16" s="1"/>
  <c r="Q54" i="16" s="1"/>
  <c r="Q73" i="16" s="1"/>
  <c r="Q92" i="16" s="1"/>
  <c r="Q14" i="16"/>
  <c r="Q33" i="16" s="1"/>
  <c r="Q53" i="16" s="1"/>
  <c r="Q72" i="16" s="1"/>
  <c r="Q91" i="16" s="1"/>
  <c r="Q13" i="16"/>
  <c r="Q32" i="16" s="1"/>
  <c r="Q52" i="16" s="1"/>
  <c r="Q71" i="16" s="1"/>
  <c r="Q90" i="16" s="1"/>
  <c r="Q12" i="16"/>
  <c r="Q31" i="16" s="1"/>
  <c r="Q51" i="16" s="1"/>
  <c r="Q70" i="16" s="1"/>
  <c r="Q89" i="16" s="1"/>
  <c r="B24" i="6"/>
  <c r="B25" i="6"/>
  <c r="B26" i="6"/>
  <c r="B27" i="6"/>
  <c r="O17" i="6"/>
  <c r="C130" i="6" s="1"/>
  <c r="O16" i="6"/>
  <c r="C129" i="6" s="1"/>
  <c r="O15" i="6"/>
  <c r="C128" i="6" s="1"/>
  <c r="B22" i="6"/>
  <c r="B71" i="6"/>
  <c r="Q40" i="6"/>
  <c r="B143" i="6"/>
  <c r="B138" i="6"/>
  <c r="B147" i="6" s="1"/>
  <c r="B139" i="6"/>
  <c r="B148" i="6" s="1"/>
  <c r="C103" i="9"/>
  <c r="H7" i="10"/>
  <c r="I16" i="17"/>
  <c r="I15" i="17"/>
  <c r="I14" i="17"/>
  <c r="I31" i="19"/>
  <c r="I38" i="19" s="1"/>
  <c r="H31" i="19"/>
  <c r="I12" i="10"/>
  <c r="H12" i="10"/>
  <c r="G12" i="10"/>
  <c r="F12" i="10"/>
  <c r="E12" i="10"/>
  <c r="D12" i="10"/>
  <c r="F51" i="17"/>
  <c r="H5" i="10"/>
  <c r="C75" i="5"/>
  <c r="B23" i="6"/>
  <c r="G31" i="5"/>
  <c r="G30" i="5"/>
  <c r="G29" i="5"/>
  <c r="AF25" i="6"/>
  <c r="AF30" i="6" s="1"/>
  <c r="AF29" i="6"/>
  <c r="D90" i="5"/>
  <c r="E51" i="14"/>
  <c r="I49" i="6" l="1"/>
  <c r="M27" i="6"/>
  <c r="I35" i="16"/>
  <c r="E49" i="6"/>
  <c r="M25" i="6"/>
  <c r="E27" i="6"/>
  <c r="C73" i="16"/>
  <c r="R62" i="6"/>
  <c r="R84" i="6" s="1"/>
  <c r="R106" i="6" s="1"/>
  <c r="G115" i="6" s="1"/>
  <c r="C59" i="6"/>
  <c r="F35" i="16"/>
  <c r="I27" i="6"/>
  <c r="Q39" i="6"/>
  <c r="Z29" i="6"/>
  <c r="L34" i="16"/>
  <c r="D55" i="16"/>
  <c r="O15" i="16"/>
  <c r="D53" i="16"/>
  <c r="Q103" i="6"/>
  <c r="G50" i="15"/>
  <c r="G74" i="15"/>
  <c r="G65" i="15"/>
  <c r="I38" i="5"/>
  <c r="J38" i="5" s="1"/>
  <c r="I26" i="5"/>
  <c r="J26" i="5" s="1"/>
  <c r="I21" i="5"/>
  <c r="J21" i="5" s="1"/>
  <c r="Q59" i="6"/>
  <c r="Q37" i="6"/>
  <c r="Q36" i="6"/>
  <c r="Q80" i="6"/>
  <c r="B67" i="6"/>
  <c r="Q58" i="6"/>
  <c r="Q81" i="6"/>
  <c r="Q102" i="6"/>
  <c r="B68" i="6"/>
  <c r="J78" i="6"/>
  <c r="J50" i="16"/>
  <c r="J30" i="16"/>
  <c r="E7" i="20"/>
  <c r="G22" i="20" s="1"/>
  <c r="R60" i="6"/>
  <c r="C69" i="6" s="1"/>
  <c r="F47" i="6"/>
  <c r="H47" i="6"/>
  <c r="F82" i="6"/>
  <c r="F104" i="6" s="1"/>
  <c r="F92" i="16" s="1"/>
  <c r="F54" i="16"/>
  <c r="H92" i="15"/>
  <c r="AN23" i="1" s="1"/>
  <c r="T17" i="16" s="1"/>
  <c r="T36" i="16" s="1"/>
  <c r="T56" i="16" s="1"/>
  <c r="T75" i="16" s="1"/>
  <c r="T94" i="16" s="1"/>
  <c r="G68" i="15"/>
  <c r="G67" i="15"/>
  <c r="M12" i="6"/>
  <c r="G72" i="15"/>
  <c r="Q57" i="6"/>
  <c r="M47" i="6"/>
  <c r="F49" i="6"/>
  <c r="G47" i="15"/>
  <c r="C12" i="6"/>
  <c r="C34" i="6" s="1"/>
  <c r="C30" i="16" s="1"/>
  <c r="I12" i="6"/>
  <c r="I22" i="6" s="1"/>
  <c r="O37" i="6"/>
  <c r="K33" i="16"/>
  <c r="G55" i="16"/>
  <c r="D49" i="6"/>
  <c r="K12" i="6"/>
  <c r="J25" i="6"/>
  <c r="Q101" i="6"/>
  <c r="B66" i="6"/>
  <c r="C25" i="6"/>
  <c r="K53" i="16"/>
  <c r="N59" i="6"/>
  <c r="N69" i="6" s="1"/>
  <c r="J103" i="6"/>
  <c r="E60" i="6"/>
  <c r="E54" i="16" s="1"/>
  <c r="O16" i="16"/>
  <c r="D12" i="6"/>
  <c r="O14" i="16"/>
  <c r="E12" i="6"/>
  <c r="F34" i="16"/>
  <c r="G66" i="15"/>
  <c r="G73" i="15"/>
  <c r="G12" i="6"/>
  <c r="M34" i="16"/>
  <c r="N12" i="6"/>
  <c r="F103" i="6"/>
  <c r="F72" i="16"/>
  <c r="I82" i="6"/>
  <c r="I54" i="16"/>
  <c r="H103" i="6"/>
  <c r="H72" i="16"/>
  <c r="R82" i="6"/>
  <c r="K91" i="6" s="1"/>
  <c r="D69" i="6"/>
  <c r="J69" i="6"/>
  <c r="K69" i="6"/>
  <c r="D47" i="6"/>
  <c r="F53" i="16"/>
  <c r="M61" i="6"/>
  <c r="M55" i="16" s="1"/>
  <c r="M35" i="16"/>
  <c r="K82" i="6"/>
  <c r="K104" i="6" s="1"/>
  <c r="I83" i="6"/>
  <c r="AA29" i="6"/>
  <c r="H33" i="16"/>
  <c r="N47" i="6"/>
  <c r="H61" i="6"/>
  <c r="H35" i="16"/>
  <c r="N60" i="6"/>
  <c r="K61" i="6"/>
  <c r="K49" i="6"/>
  <c r="K35" i="16"/>
  <c r="J91" i="16"/>
  <c r="R39" i="6"/>
  <c r="G48" i="6" s="1"/>
  <c r="E26" i="6"/>
  <c r="I26" i="6"/>
  <c r="M26" i="6"/>
  <c r="K26" i="6"/>
  <c r="K47" i="6"/>
  <c r="F73" i="16"/>
  <c r="L81" i="6"/>
  <c r="L72" i="16" s="1"/>
  <c r="L53" i="16"/>
  <c r="J61" i="6"/>
  <c r="J55" i="16" s="1"/>
  <c r="J35" i="16"/>
  <c r="I59" i="6"/>
  <c r="I47" i="6"/>
  <c r="G81" i="6"/>
  <c r="G72" i="16" s="1"/>
  <c r="D105" i="6"/>
  <c r="D74" i="16"/>
  <c r="D25" i="6"/>
  <c r="H25" i="6"/>
  <c r="L25" i="6"/>
  <c r="I14" i="6"/>
  <c r="I13" i="16" s="1"/>
  <c r="L14" i="6"/>
  <c r="Q79" i="6"/>
  <c r="Q35" i="6"/>
  <c r="O39" i="6"/>
  <c r="N26" i="6"/>
  <c r="K25" i="6"/>
  <c r="I25" i="6"/>
  <c r="G26" i="6"/>
  <c r="M33" i="16"/>
  <c r="I34" i="16"/>
  <c r="L48" i="6"/>
  <c r="J49" i="6"/>
  <c r="H49" i="6"/>
  <c r="G47" i="6"/>
  <c r="G54" i="16"/>
  <c r="L69" i="6"/>
  <c r="H69" i="6"/>
  <c r="F69" i="6"/>
  <c r="D72" i="16"/>
  <c r="E81" i="6"/>
  <c r="E69" i="6"/>
  <c r="F27" i="6"/>
  <c r="J27" i="6"/>
  <c r="N27" i="6"/>
  <c r="H80" i="15"/>
  <c r="Z23" i="1" s="1"/>
  <c r="T15" i="16" s="1"/>
  <c r="T34" i="16" s="1"/>
  <c r="T54" i="16" s="1"/>
  <c r="T73" i="16" s="1"/>
  <c r="T92" i="16" s="1"/>
  <c r="G71" i="15"/>
  <c r="G69" i="15"/>
  <c r="G77" i="15"/>
  <c r="Q38" i="6"/>
  <c r="O38" i="6"/>
  <c r="AD29" i="6"/>
  <c r="N25" i="6"/>
  <c r="L26" i="6"/>
  <c r="J26" i="6"/>
  <c r="H27" i="6"/>
  <c r="G25" i="6"/>
  <c r="E25" i="6"/>
  <c r="C26" i="6"/>
  <c r="I33" i="16"/>
  <c r="M49" i="6"/>
  <c r="L47" i="6"/>
  <c r="J47" i="6"/>
  <c r="C47" i="6"/>
  <c r="H54" i="16"/>
  <c r="G53" i="16"/>
  <c r="E53" i="16"/>
  <c r="G74" i="16"/>
  <c r="G93" i="6"/>
  <c r="M59" i="6"/>
  <c r="L61" i="6"/>
  <c r="L35" i="16"/>
  <c r="J60" i="6"/>
  <c r="J100" i="6"/>
  <c r="J88" i="16" s="1"/>
  <c r="J69" i="16"/>
  <c r="H82" i="6"/>
  <c r="G49" i="6"/>
  <c r="G35" i="16"/>
  <c r="E82" i="6"/>
  <c r="E47" i="6"/>
  <c r="D82" i="6"/>
  <c r="D73" i="16" s="1"/>
  <c r="D54" i="16"/>
  <c r="C61" i="6"/>
  <c r="C49" i="6"/>
  <c r="O49" i="6" s="1"/>
  <c r="D142" i="6" s="1"/>
  <c r="I25" i="5"/>
  <c r="J25" i="5" s="1"/>
  <c r="G62" i="15"/>
  <c r="G51" i="15"/>
  <c r="G38" i="15"/>
  <c r="G42" i="15"/>
  <c r="G52" i="15"/>
  <c r="G56" i="15"/>
  <c r="G59" i="15"/>
  <c r="H86" i="15"/>
  <c r="AG23" i="1" s="1"/>
  <c r="T16" i="16" s="1"/>
  <c r="T35" i="16" s="1"/>
  <c r="T55" i="16" s="1"/>
  <c r="T74" i="16" s="1"/>
  <c r="T93" i="16" s="1"/>
  <c r="F12" i="6"/>
  <c r="Q60" i="6"/>
  <c r="B81" i="6"/>
  <c r="B69" i="6"/>
  <c r="B70" i="6"/>
  <c r="B82" i="6"/>
  <c r="B83" i="6"/>
  <c r="Q62" i="6"/>
  <c r="X29" i="6"/>
  <c r="AH29" i="6"/>
  <c r="I104" i="6"/>
  <c r="H55" i="16"/>
  <c r="D91" i="16"/>
  <c r="AB29" i="6"/>
  <c r="L82" i="6"/>
  <c r="N83" i="6"/>
  <c r="M82" i="6"/>
  <c r="K72" i="16"/>
  <c r="K103" i="6"/>
  <c r="G104" i="6"/>
  <c r="G73" i="16"/>
  <c r="F83" i="6"/>
  <c r="F71" i="6"/>
  <c r="F55" i="16"/>
  <c r="E83" i="6"/>
  <c r="E71" i="6"/>
  <c r="N35" i="6"/>
  <c r="N23" i="6"/>
  <c r="C56" i="6"/>
  <c r="B7" i="20"/>
  <c r="H126" i="9"/>
  <c r="I12" i="5"/>
  <c r="J12" i="5" s="1"/>
  <c r="D13" i="6"/>
  <c r="I13" i="6"/>
  <c r="C36" i="6"/>
  <c r="C24" i="6"/>
  <c r="I13" i="5"/>
  <c r="J13" i="5" s="1"/>
  <c r="C13" i="6"/>
  <c r="C23" i="6" s="1"/>
  <c r="F13" i="6"/>
  <c r="M14" i="6"/>
  <c r="L13" i="6"/>
  <c r="J14" i="6"/>
  <c r="J24" i="6" s="1"/>
  <c r="K14" i="6"/>
  <c r="E14" i="6"/>
  <c r="F14" i="6"/>
  <c r="F24" i="6" s="1"/>
  <c r="G14" i="6"/>
  <c r="N14" i="6"/>
  <c r="N24" i="6" s="1"/>
  <c r="M13" i="6"/>
  <c r="J13" i="6"/>
  <c r="K13" i="6"/>
  <c r="G57" i="15"/>
  <c r="G37" i="15"/>
  <c r="C11" i="16"/>
  <c r="D14" i="6"/>
  <c r="D24" i="6" s="1"/>
  <c r="E13" i="6"/>
  <c r="G13" i="6"/>
  <c r="L12" i="6"/>
  <c r="L22" i="6" s="1"/>
  <c r="C127" i="9"/>
  <c r="C128" i="9" s="1"/>
  <c r="G19" i="21"/>
  <c r="F19" i="21"/>
  <c r="J1" i="17"/>
  <c r="J2" i="17"/>
  <c r="S53" i="16"/>
  <c r="I32" i="5"/>
  <c r="J32" i="5" s="1"/>
  <c r="I39" i="5"/>
  <c r="J39" i="5" s="1"/>
  <c r="I31" i="5"/>
  <c r="J31" i="5" s="1"/>
  <c r="E50" i="5"/>
  <c r="I15" i="5"/>
  <c r="J15" i="5" s="1"/>
  <c r="I29" i="5"/>
  <c r="J29" i="5" s="1"/>
  <c r="E61" i="5"/>
  <c r="I60" i="5" s="1"/>
  <c r="J60" i="5" s="1"/>
  <c r="K60" i="5" s="1"/>
  <c r="R37" i="6"/>
  <c r="L24" i="6"/>
  <c r="R80" i="6"/>
  <c r="E27" i="5"/>
  <c r="E10" i="5" s="1"/>
  <c r="B70" i="5" s="1"/>
  <c r="D70" i="5" s="1"/>
  <c r="D86" i="5" s="1"/>
  <c r="I19" i="5"/>
  <c r="J19" i="5" s="1"/>
  <c r="G15" i="20"/>
  <c r="E22" i="6"/>
  <c r="R35" i="6"/>
  <c r="C44" i="6" s="1"/>
  <c r="C22" i="6"/>
  <c r="M22" i="6"/>
  <c r="N22" i="6"/>
  <c r="J22" i="6"/>
  <c r="F22" i="6"/>
  <c r="K22" i="6"/>
  <c r="G22" i="6"/>
  <c r="H24" i="15"/>
  <c r="J71" i="6" l="1"/>
  <c r="D93" i="6"/>
  <c r="L91" i="6"/>
  <c r="K73" i="16"/>
  <c r="D91" i="6"/>
  <c r="H71" i="6"/>
  <c r="G69" i="6"/>
  <c r="N71" i="6"/>
  <c r="G71" i="6"/>
  <c r="I48" i="6"/>
  <c r="H83" i="6"/>
  <c r="I71" i="6"/>
  <c r="M71" i="6"/>
  <c r="E48" i="6"/>
  <c r="N48" i="6"/>
  <c r="D71" i="6"/>
  <c r="C81" i="6"/>
  <c r="C53" i="16"/>
  <c r="G21" i="20"/>
  <c r="G19" i="20"/>
  <c r="G18" i="20"/>
  <c r="G17" i="20"/>
  <c r="G20" i="20"/>
  <c r="G23" i="20"/>
  <c r="G16" i="20"/>
  <c r="I34" i="6"/>
  <c r="I44" i="6" s="1"/>
  <c r="I11" i="16"/>
  <c r="H35" i="15"/>
  <c r="E106" i="15" s="1"/>
  <c r="O25" i="6"/>
  <c r="C140" i="6" s="1"/>
  <c r="G34" i="6"/>
  <c r="G11" i="16"/>
  <c r="K34" i="6"/>
  <c r="K44" i="6" s="1"/>
  <c r="K11" i="16"/>
  <c r="D11" i="16"/>
  <c r="D34" i="6"/>
  <c r="D104" i="6"/>
  <c r="O26" i="6"/>
  <c r="C141" i="6" s="1"/>
  <c r="O27" i="6"/>
  <c r="C142" i="6" s="1"/>
  <c r="O35" i="16"/>
  <c r="N81" i="6"/>
  <c r="N53" i="16"/>
  <c r="D22" i="6"/>
  <c r="O34" i="16"/>
  <c r="H65" i="15"/>
  <c r="S23" i="1" s="1"/>
  <c r="E34" i="6"/>
  <c r="E11" i="16"/>
  <c r="N34" i="6"/>
  <c r="N44" i="6" s="1"/>
  <c r="N11" i="16"/>
  <c r="O59" i="6"/>
  <c r="D128" i="6"/>
  <c r="M34" i="6"/>
  <c r="M11" i="16"/>
  <c r="R104" i="6"/>
  <c r="K113" i="6" s="1"/>
  <c r="C91" i="6"/>
  <c r="J91" i="6"/>
  <c r="J82" i="6"/>
  <c r="J54" i="16"/>
  <c r="D129" i="6"/>
  <c r="O60" i="6"/>
  <c r="L36" i="6"/>
  <c r="L13" i="16"/>
  <c r="J83" i="6"/>
  <c r="C83" i="6"/>
  <c r="C71" i="6"/>
  <c r="C55" i="16"/>
  <c r="D130" i="6"/>
  <c r="O61" i="6"/>
  <c r="N82" i="6"/>
  <c r="N54" i="16"/>
  <c r="P54" i="16" s="1"/>
  <c r="G14" i="20"/>
  <c r="G103" i="6"/>
  <c r="I73" i="16"/>
  <c r="L83" i="6"/>
  <c r="L55" i="16"/>
  <c r="L71" i="6"/>
  <c r="E103" i="6"/>
  <c r="E91" i="6"/>
  <c r="E72" i="16"/>
  <c r="D115" i="6"/>
  <c r="D93" i="16"/>
  <c r="I81" i="6"/>
  <c r="I53" i="16"/>
  <c r="I69" i="6"/>
  <c r="O69" i="6" s="1"/>
  <c r="E140" i="6" s="1"/>
  <c r="R61" i="6"/>
  <c r="N70" i="6" s="1"/>
  <c r="H48" i="6"/>
  <c r="M48" i="6"/>
  <c r="C48" i="6"/>
  <c r="D48" i="6"/>
  <c r="K48" i="6"/>
  <c r="H91" i="16"/>
  <c r="H104" i="6"/>
  <c r="H73" i="16"/>
  <c r="H50" i="15"/>
  <c r="G91" i="6"/>
  <c r="H12" i="6"/>
  <c r="F11" i="16"/>
  <c r="E104" i="6"/>
  <c r="E73" i="16"/>
  <c r="O33" i="16"/>
  <c r="I105" i="6"/>
  <c r="I74" i="16"/>
  <c r="I93" i="6"/>
  <c r="F91" i="6"/>
  <c r="G25" i="20"/>
  <c r="I36" i="6"/>
  <c r="G13" i="20"/>
  <c r="G24" i="20"/>
  <c r="C28" i="6"/>
  <c r="C9" i="9" s="1"/>
  <c r="C8" i="9" s="1"/>
  <c r="B71" i="5"/>
  <c r="D71" i="5" s="1"/>
  <c r="D87" i="5" s="1"/>
  <c r="F34" i="6"/>
  <c r="I24" i="6"/>
  <c r="L103" i="6"/>
  <c r="L113" i="6" s="1"/>
  <c r="M83" i="6"/>
  <c r="J48" i="6"/>
  <c r="M81" i="6"/>
  <c r="M69" i="6"/>
  <c r="M53" i="16"/>
  <c r="O53" i="16" s="1"/>
  <c r="O47" i="6"/>
  <c r="D140" i="6" s="1"/>
  <c r="F48" i="6"/>
  <c r="K83" i="6"/>
  <c r="K71" i="6"/>
  <c r="K55" i="16"/>
  <c r="H91" i="6"/>
  <c r="F91" i="16"/>
  <c r="C109" i="9"/>
  <c r="E23" i="6"/>
  <c r="E35" i="6"/>
  <c r="E12" i="16"/>
  <c r="E18" i="6"/>
  <c r="J23" i="6"/>
  <c r="J35" i="6"/>
  <c r="J12" i="16"/>
  <c r="J17" i="16" s="1"/>
  <c r="J18" i="6"/>
  <c r="H14" i="6"/>
  <c r="D108" i="15" s="1"/>
  <c r="F36" i="6"/>
  <c r="F46" i="6" s="1"/>
  <c r="F13" i="16"/>
  <c r="J36" i="6"/>
  <c r="J13" i="16"/>
  <c r="C12" i="16"/>
  <c r="C35" i="6"/>
  <c r="C18" i="6"/>
  <c r="I35" i="6"/>
  <c r="I23" i="6"/>
  <c r="I12" i="16"/>
  <c r="I17" i="16" s="1"/>
  <c r="I18" i="6"/>
  <c r="C78" i="6"/>
  <c r="C100" i="6" s="1"/>
  <c r="C50" i="16"/>
  <c r="P55" i="16"/>
  <c r="O55" i="16"/>
  <c r="D92" i="16"/>
  <c r="L104" i="6"/>
  <c r="L73" i="16"/>
  <c r="G91" i="16"/>
  <c r="J50" i="5"/>
  <c r="C32" i="9" s="1"/>
  <c r="D32" i="9" s="1"/>
  <c r="E32" i="9" s="1"/>
  <c r="F32" i="9" s="1"/>
  <c r="G32" i="9" s="1"/>
  <c r="H32" i="9" s="1"/>
  <c r="I32" i="9" s="1"/>
  <c r="J32" i="9" s="1"/>
  <c r="K32" i="9" s="1"/>
  <c r="L32" i="9" s="1"/>
  <c r="M32" i="9" s="1"/>
  <c r="N32" i="9" s="1"/>
  <c r="C17" i="19"/>
  <c r="D36" i="6"/>
  <c r="D13" i="16"/>
  <c r="S40" i="1"/>
  <c r="O14" i="6"/>
  <c r="C127" i="6" s="1"/>
  <c r="M23" i="6"/>
  <c r="M35" i="6"/>
  <c r="M12" i="16"/>
  <c r="M18" i="6"/>
  <c r="E24" i="6"/>
  <c r="E36" i="6"/>
  <c r="E13" i="16"/>
  <c r="L23" i="6"/>
  <c r="L28" i="6" s="1"/>
  <c r="L9" i="9" s="1"/>
  <c r="L8" i="9" s="1"/>
  <c r="L35" i="6"/>
  <c r="L12" i="16"/>
  <c r="D23" i="6"/>
  <c r="D35" i="6"/>
  <c r="D12" i="16"/>
  <c r="D18" i="6"/>
  <c r="G92" i="16"/>
  <c r="N105" i="6"/>
  <c r="N93" i="6"/>
  <c r="N74" i="16"/>
  <c r="M105" i="6"/>
  <c r="M93" i="6"/>
  <c r="M74" i="16"/>
  <c r="B93" i="6"/>
  <c r="B105" i="6" s="1"/>
  <c r="Q84" i="6"/>
  <c r="B91" i="6"/>
  <c r="B103" i="6" s="1"/>
  <c r="Q82" i="6"/>
  <c r="E28" i="6"/>
  <c r="E9" i="9" s="1"/>
  <c r="E8" i="9" s="1"/>
  <c r="L34" i="6"/>
  <c r="L44" i="6" s="1"/>
  <c r="D106" i="15"/>
  <c r="L11" i="16"/>
  <c r="E40" i="1"/>
  <c r="L18" i="6"/>
  <c r="O12" i="6"/>
  <c r="C17" i="16"/>
  <c r="F56" i="6"/>
  <c r="F30" i="16"/>
  <c r="N36" i="6"/>
  <c r="N46" i="6" s="1"/>
  <c r="N13" i="16"/>
  <c r="N18" i="6"/>
  <c r="M24" i="6"/>
  <c r="M28" i="6" s="1"/>
  <c r="M9" i="9" s="1"/>
  <c r="M8" i="9" s="1"/>
  <c r="M36" i="6"/>
  <c r="M46" i="6" s="1"/>
  <c r="M13" i="16"/>
  <c r="I58" i="6"/>
  <c r="I32" i="16"/>
  <c r="F105" i="6"/>
  <c r="F93" i="6"/>
  <c r="F74" i="16"/>
  <c r="K92" i="16"/>
  <c r="I92" i="16"/>
  <c r="B92" i="6"/>
  <c r="B104" i="6" s="1"/>
  <c r="Q83" i="6"/>
  <c r="J28" i="6"/>
  <c r="J9" i="9" s="1"/>
  <c r="J8" i="9" s="1"/>
  <c r="G23" i="6"/>
  <c r="G35" i="6"/>
  <c r="G12" i="16"/>
  <c r="G18" i="6"/>
  <c r="K23" i="6"/>
  <c r="K35" i="6"/>
  <c r="K12" i="16"/>
  <c r="K18" i="6"/>
  <c r="G36" i="6"/>
  <c r="G24" i="6"/>
  <c r="G13" i="16"/>
  <c r="K36" i="6"/>
  <c r="K46" i="6" s="1"/>
  <c r="K24" i="6"/>
  <c r="K13" i="16"/>
  <c r="F35" i="6"/>
  <c r="F23" i="6"/>
  <c r="F28" i="6" s="1"/>
  <c r="F9" i="9" s="1"/>
  <c r="F8" i="9" s="1"/>
  <c r="H13" i="6"/>
  <c r="O13" i="6" s="1"/>
  <c r="C126" i="6" s="1"/>
  <c r="F12" i="16"/>
  <c r="F18" i="6"/>
  <c r="C58" i="6"/>
  <c r="C32" i="16"/>
  <c r="N45" i="6"/>
  <c r="N57" i="6"/>
  <c r="N31" i="16"/>
  <c r="E105" i="6"/>
  <c r="E93" i="6"/>
  <c r="E74" i="16"/>
  <c r="K91" i="16"/>
  <c r="M73" i="16"/>
  <c r="M104" i="6"/>
  <c r="J105" i="6"/>
  <c r="J93" i="6"/>
  <c r="J74" i="16"/>
  <c r="H105" i="6"/>
  <c r="H74" i="16"/>
  <c r="H93" i="6"/>
  <c r="H21" i="21"/>
  <c r="S72" i="16"/>
  <c r="C15" i="19"/>
  <c r="C107" i="9"/>
  <c r="I50" i="5"/>
  <c r="M14" i="5" s="1"/>
  <c r="C87" i="5"/>
  <c r="D48" i="14" s="1"/>
  <c r="E48" i="14"/>
  <c r="C33" i="9"/>
  <c r="D33" i="9" s="1"/>
  <c r="E33" i="9" s="1"/>
  <c r="F33" i="9" s="1"/>
  <c r="G33" i="9" s="1"/>
  <c r="H33" i="9" s="1"/>
  <c r="I33" i="9" s="1"/>
  <c r="J33" i="9" s="1"/>
  <c r="K33" i="9" s="1"/>
  <c r="L33" i="9" s="1"/>
  <c r="M33" i="9" s="1"/>
  <c r="N33" i="9" s="1"/>
  <c r="F26" i="15"/>
  <c r="G26" i="15" s="1"/>
  <c r="C87" i="9"/>
  <c r="D87" i="9" s="1"/>
  <c r="E87" i="9" s="1"/>
  <c r="F87" i="9" s="1"/>
  <c r="G87" i="9" s="1"/>
  <c r="H87" i="9" s="1"/>
  <c r="I87" i="9" s="1"/>
  <c r="J87" i="9" s="1"/>
  <c r="K87" i="9" s="1"/>
  <c r="L87" i="9" s="1"/>
  <c r="M87" i="9" s="1"/>
  <c r="N87" i="9" s="1"/>
  <c r="C69" i="9"/>
  <c r="D69" i="9" s="1"/>
  <c r="E69" i="9" s="1"/>
  <c r="F69" i="9" s="1"/>
  <c r="G69" i="9" s="1"/>
  <c r="H69" i="9" s="1"/>
  <c r="I69" i="9" s="1"/>
  <c r="J69" i="9" s="1"/>
  <c r="K69" i="9" s="1"/>
  <c r="L69" i="9" s="1"/>
  <c r="M69" i="9" s="1"/>
  <c r="N69" i="9" s="1"/>
  <c r="C15" i="9"/>
  <c r="D15" i="9" s="1"/>
  <c r="E15" i="9" s="1"/>
  <c r="F15" i="9" s="1"/>
  <c r="G15" i="9" s="1"/>
  <c r="H15" i="9" s="1"/>
  <c r="I15" i="9" s="1"/>
  <c r="J15" i="9" s="1"/>
  <c r="K15" i="9" s="1"/>
  <c r="L15" i="9" s="1"/>
  <c r="M15" i="9" s="1"/>
  <c r="N15" i="9" s="1"/>
  <c r="C51" i="9"/>
  <c r="D51" i="9" s="1"/>
  <c r="E51" i="9" s="1"/>
  <c r="F51" i="9" s="1"/>
  <c r="G51" i="9" s="1"/>
  <c r="H51" i="9" s="1"/>
  <c r="I51" i="9" s="1"/>
  <c r="J51" i="9" s="1"/>
  <c r="K51" i="9" s="1"/>
  <c r="L51" i="9" s="1"/>
  <c r="M51" i="9" s="1"/>
  <c r="N51" i="9" s="1"/>
  <c r="N28" i="6"/>
  <c r="N9" i="9" s="1"/>
  <c r="N8" i="9" s="1"/>
  <c r="D46" i="6"/>
  <c r="J46" i="6"/>
  <c r="L46" i="6"/>
  <c r="C46" i="6"/>
  <c r="E46" i="6"/>
  <c r="G46" i="6"/>
  <c r="I46" i="6"/>
  <c r="R59" i="6"/>
  <c r="R102" i="6"/>
  <c r="C86" i="5"/>
  <c r="D47" i="14" s="1"/>
  <c r="E47" i="14"/>
  <c r="F25" i="15"/>
  <c r="G25" i="15" s="1"/>
  <c r="E44" i="6"/>
  <c r="J44" i="6"/>
  <c r="M44" i="6"/>
  <c r="R57" i="6"/>
  <c r="D44" i="6"/>
  <c r="G44" i="6"/>
  <c r="F44" i="6"/>
  <c r="F17" i="16" l="1"/>
  <c r="N17" i="16"/>
  <c r="O71" i="6"/>
  <c r="E142" i="6" s="1"/>
  <c r="P53" i="16"/>
  <c r="C103" i="6"/>
  <c r="C91" i="16" s="1"/>
  <c r="C72" i="16"/>
  <c r="F106" i="15"/>
  <c r="D9" i="20"/>
  <c r="F9" i="20" s="1"/>
  <c r="T14" i="16"/>
  <c r="E108" i="15"/>
  <c r="F108" i="15" s="1"/>
  <c r="E23" i="1"/>
  <c r="D7" i="20" s="1"/>
  <c r="D13" i="20" s="1"/>
  <c r="C86" i="9"/>
  <c r="D86" i="9" s="1"/>
  <c r="E86" i="9" s="1"/>
  <c r="F86" i="9" s="1"/>
  <c r="G86" i="9" s="1"/>
  <c r="H86" i="9" s="1"/>
  <c r="I86" i="9" s="1"/>
  <c r="J86" i="9" s="1"/>
  <c r="K86" i="9" s="1"/>
  <c r="L86" i="9" s="1"/>
  <c r="M86" i="9" s="1"/>
  <c r="N86" i="9" s="1"/>
  <c r="C14" i="9"/>
  <c r="D14" i="9" s="1"/>
  <c r="E14" i="9" s="1"/>
  <c r="F14" i="9" s="1"/>
  <c r="G14" i="9" s="1"/>
  <c r="H14" i="9" s="1"/>
  <c r="I14" i="9" s="1"/>
  <c r="J14" i="9" s="1"/>
  <c r="K14" i="9" s="1"/>
  <c r="L14" i="9" s="1"/>
  <c r="M14" i="9" s="1"/>
  <c r="N14" i="9" s="1"/>
  <c r="C68" i="9"/>
  <c r="D68" i="9" s="1"/>
  <c r="E68" i="9" s="1"/>
  <c r="F68" i="9" s="1"/>
  <c r="G68" i="9" s="1"/>
  <c r="H68" i="9" s="1"/>
  <c r="I68" i="9" s="1"/>
  <c r="J68" i="9" s="1"/>
  <c r="K68" i="9" s="1"/>
  <c r="L68" i="9" s="1"/>
  <c r="M68" i="9" s="1"/>
  <c r="N68" i="9" s="1"/>
  <c r="C50" i="9"/>
  <c r="D50" i="9" s="1"/>
  <c r="E50" i="9" s="1"/>
  <c r="F50" i="9" s="1"/>
  <c r="G50" i="9" s="1"/>
  <c r="H50" i="9" s="1"/>
  <c r="I50" i="9" s="1"/>
  <c r="J50" i="9" s="1"/>
  <c r="K50" i="9" s="1"/>
  <c r="L50" i="9" s="1"/>
  <c r="M50" i="9" s="1"/>
  <c r="N50" i="9" s="1"/>
  <c r="B86" i="5"/>
  <c r="C47" i="14" s="1"/>
  <c r="F40" i="6"/>
  <c r="N50" i="6"/>
  <c r="N27" i="9" s="1"/>
  <c r="N26" i="9" s="1"/>
  <c r="D17" i="16"/>
  <c r="I28" i="6"/>
  <c r="I9" i="9" s="1"/>
  <c r="I8" i="9" s="1"/>
  <c r="E128" i="6"/>
  <c r="O81" i="6"/>
  <c r="N72" i="16"/>
  <c r="N103" i="6"/>
  <c r="N91" i="6"/>
  <c r="K30" i="16"/>
  <c r="K56" i="6"/>
  <c r="G56" i="6"/>
  <c r="G66" i="6" s="1"/>
  <c r="G30" i="16"/>
  <c r="N56" i="6"/>
  <c r="N66" i="6" s="1"/>
  <c r="N30" i="16"/>
  <c r="H113" i="6"/>
  <c r="F113" i="6"/>
  <c r="E56" i="6"/>
  <c r="E66" i="6" s="1"/>
  <c r="E30" i="16"/>
  <c r="N40" i="6"/>
  <c r="G28" i="6"/>
  <c r="G9" i="9" s="1"/>
  <c r="G8" i="9" s="1"/>
  <c r="L91" i="16"/>
  <c r="G113" i="6"/>
  <c r="O54" i="16"/>
  <c r="M30" i="16"/>
  <c r="M56" i="6"/>
  <c r="M66" i="6" s="1"/>
  <c r="D56" i="6"/>
  <c r="D30" i="16"/>
  <c r="L17" i="16"/>
  <c r="I56" i="6"/>
  <c r="I30" i="16"/>
  <c r="E113" i="6"/>
  <c r="E91" i="16"/>
  <c r="K28" i="6"/>
  <c r="K9" i="9" s="1"/>
  <c r="K8" i="9" s="1"/>
  <c r="H34" i="6"/>
  <c r="O34" i="6" s="1"/>
  <c r="D125" i="6" s="1"/>
  <c r="H11" i="16"/>
  <c r="O11" i="16" s="1"/>
  <c r="H22" i="6"/>
  <c r="H92" i="16"/>
  <c r="I91" i="6"/>
  <c r="I103" i="6"/>
  <c r="I72" i="16"/>
  <c r="M91" i="6"/>
  <c r="M103" i="6"/>
  <c r="M72" i="16"/>
  <c r="I93" i="16"/>
  <c r="I115" i="6"/>
  <c r="R83" i="6"/>
  <c r="N92" i="6" s="1"/>
  <c r="C70" i="6"/>
  <c r="D70" i="6"/>
  <c r="F70" i="6"/>
  <c r="G70" i="6"/>
  <c r="I70" i="6"/>
  <c r="M70" i="6"/>
  <c r="E70" i="6"/>
  <c r="H70" i="6"/>
  <c r="K70" i="6"/>
  <c r="L70" i="6"/>
  <c r="N104" i="6"/>
  <c r="N92" i="16" s="1"/>
  <c r="N73" i="16"/>
  <c r="L58" i="6"/>
  <c r="L32" i="16"/>
  <c r="J70" i="6"/>
  <c r="D113" i="6"/>
  <c r="C113" i="6"/>
  <c r="J113" i="6"/>
  <c r="K105" i="6"/>
  <c r="K74" i="16"/>
  <c r="K93" i="6"/>
  <c r="E92" i="16"/>
  <c r="L23" i="1"/>
  <c r="E107" i="15"/>
  <c r="O48" i="6"/>
  <c r="D141" i="6" s="1"/>
  <c r="L105" i="6"/>
  <c r="L93" i="6"/>
  <c r="L74" i="16"/>
  <c r="E130" i="6"/>
  <c r="O83" i="6"/>
  <c r="C93" i="6"/>
  <c r="C105" i="6"/>
  <c r="C74" i="16"/>
  <c r="E129" i="6"/>
  <c r="O82" i="6"/>
  <c r="J104" i="6"/>
  <c r="J73" i="16"/>
  <c r="E115" i="6"/>
  <c r="E93" i="16"/>
  <c r="N79" i="6"/>
  <c r="N51" i="16"/>
  <c r="N67" i="6"/>
  <c r="C80" i="6"/>
  <c r="C52" i="16"/>
  <c r="K58" i="6"/>
  <c r="K32" i="16"/>
  <c r="B114" i="6"/>
  <c r="B129" i="6" s="1"/>
  <c r="B141" i="6" s="1"/>
  <c r="B150" i="6" s="1"/>
  <c r="Q105" i="6"/>
  <c r="C125" i="6"/>
  <c r="C131" i="6" s="1"/>
  <c r="O22" i="6"/>
  <c r="Q106" i="6"/>
  <c r="B115" i="6"/>
  <c r="B130" i="6" s="1"/>
  <c r="B142" i="6" s="1"/>
  <c r="B151" i="6" s="1"/>
  <c r="E58" i="6"/>
  <c r="E68" i="6" s="1"/>
  <c r="E32" i="16"/>
  <c r="M45" i="6"/>
  <c r="M50" i="6" s="1"/>
  <c r="M27" i="9" s="1"/>
  <c r="M26" i="9" s="1"/>
  <c r="M57" i="6"/>
  <c r="M31" i="16"/>
  <c r="M40" i="6"/>
  <c r="C57" i="6"/>
  <c r="C31" i="16"/>
  <c r="C40" i="6"/>
  <c r="C45" i="6"/>
  <c r="E17" i="16"/>
  <c r="D28" i="6"/>
  <c r="D9" i="9" s="1"/>
  <c r="D8" i="9" s="1"/>
  <c r="H93" i="16"/>
  <c r="H115" i="6"/>
  <c r="M92" i="16"/>
  <c r="F45" i="6"/>
  <c r="F50" i="6" s="1"/>
  <c r="F27" i="9" s="1"/>
  <c r="F26" i="9" s="1"/>
  <c r="F57" i="6"/>
  <c r="F31" i="16"/>
  <c r="F36" i="16" s="1"/>
  <c r="K17" i="16"/>
  <c r="G17" i="16"/>
  <c r="F78" i="6"/>
  <c r="F50" i="16"/>
  <c r="L56" i="6"/>
  <c r="L30" i="16"/>
  <c r="L40" i="6"/>
  <c r="L45" i="6"/>
  <c r="L50" i="6" s="1"/>
  <c r="L27" i="9" s="1"/>
  <c r="L26" i="9" s="1"/>
  <c r="L57" i="6"/>
  <c r="L31" i="16"/>
  <c r="D107" i="15"/>
  <c r="F58" i="6"/>
  <c r="F32" i="16"/>
  <c r="J45" i="6"/>
  <c r="J50" i="6" s="1"/>
  <c r="J27" i="9" s="1"/>
  <c r="J26" i="9" s="1"/>
  <c r="J57" i="6"/>
  <c r="J31" i="16"/>
  <c r="J40" i="6"/>
  <c r="E45" i="6"/>
  <c r="E50" i="6" s="1"/>
  <c r="E27" i="9" s="1"/>
  <c r="E26" i="9" s="1"/>
  <c r="E57" i="6"/>
  <c r="E31" i="16"/>
  <c r="E40" i="6"/>
  <c r="J93" i="16"/>
  <c r="J115" i="6"/>
  <c r="K45" i="6"/>
  <c r="K50" i="6" s="1"/>
  <c r="K27" i="9" s="1"/>
  <c r="K26" i="9" s="1"/>
  <c r="K57" i="6"/>
  <c r="K31" i="16"/>
  <c r="K40" i="6"/>
  <c r="G45" i="6"/>
  <c r="G57" i="6"/>
  <c r="G31" i="16"/>
  <c r="G40" i="6"/>
  <c r="I80" i="6"/>
  <c r="I52" i="16"/>
  <c r="M58" i="6"/>
  <c r="M32" i="16"/>
  <c r="N58" i="6"/>
  <c r="N32" i="16"/>
  <c r="N36" i="16" s="1"/>
  <c r="B113" i="6"/>
  <c r="B128" i="6" s="1"/>
  <c r="B140" i="6" s="1"/>
  <c r="B149" i="6" s="1"/>
  <c r="Q104" i="6"/>
  <c r="M115" i="6"/>
  <c r="M93" i="16"/>
  <c r="D45" i="6"/>
  <c r="D50" i="6" s="1"/>
  <c r="D27" i="9" s="1"/>
  <c r="D26" i="9" s="1"/>
  <c r="D57" i="6"/>
  <c r="D31" i="16"/>
  <c r="D40" i="6"/>
  <c r="C69" i="16"/>
  <c r="H36" i="6"/>
  <c r="H13" i="16"/>
  <c r="O13" i="16" s="1"/>
  <c r="H24" i="6"/>
  <c r="O24" i="6" s="1"/>
  <c r="C139" i="6" s="1"/>
  <c r="O93" i="6"/>
  <c r="F142" i="6" s="1"/>
  <c r="H35" i="6"/>
  <c r="H23" i="6"/>
  <c r="H12" i="16"/>
  <c r="H18" i="6"/>
  <c r="O18" i="6" s="1"/>
  <c r="G58" i="6"/>
  <c r="G68" i="6" s="1"/>
  <c r="G32" i="16"/>
  <c r="F93" i="16"/>
  <c r="F115" i="6"/>
  <c r="T33" i="16"/>
  <c r="R14" i="16"/>
  <c r="N115" i="6"/>
  <c r="N93" i="16"/>
  <c r="M17" i="16"/>
  <c r="D58" i="6"/>
  <c r="D68" i="6" s="1"/>
  <c r="D32" i="16"/>
  <c r="L92" i="16"/>
  <c r="I45" i="6"/>
  <c r="I50" i="6" s="1"/>
  <c r="I27" i="9" s="1"/>
  <c r="I26" i="9" s="1"/>
  <c r="I57" i="6"/>
  <c r="I31" i="16"/>
  <c r="I36" i="16" s="1"/>
  <c r="I40" i="6"/>
  <c r="L40" i="1"/>
  <c r="J58" i="6"/>
  <c r="J68" i="6" s="1"/>
  <c r="J32" i="16"/>
  <c r="S91" i="16"/>
  <c r="M15" i="5"/>
  <c r="M11" i="5"/>
  <c r="O11" i="5" s="1"/>
  <c r="M12" i="5"/>
  <c r="M13" i="5"/>
  <c r="G30" i="15"/>
  <c r="F42" i="16" s="1"/>
  <c r="F31" i="9" s="1"/>
  <c r="F34" i="9" s="1"/>
  <c r="B87" i="5"/>
  <c r="C48" i="14" s="1"/>
  <c r="L68" i="6"/>
  <c r="R81" i="6"/>
  <c r="C68" i="6"/>
  <c r="K68" i="6"/>
  <c r="I68" i="6"/>
  <c r="M68" i="6"/>
  <c r="F68" i="6"/>
  <c r="N68" i="6"/>
  <c r="G50" i="6"/>
  <c r="G27" i="9" s="1"/>
  <c r="G26" i="9" s="1"/>
  <c r="D66" i="6"/>
  <c r="L66" i="6"/>
  <c r="K66" i="6"/>
  <c r="F66" i="6"/>
  <c r="J66" i="6"/>
  <c r="C66" i="6"/>
  <c r="I66" i="6"/>
  <c r="R79" i="6"/>
  <c r="O74" i="16" l="1"/>
  <c r="O73" i="16"/>
  <c r="O72" i="16"/>
  <c r="T12" i="16"/>
  <c r="T31" i="16" s="1"/>
  <c r="T51" i="16" s="1"/>
  <c r="T70" i="16" s="1"/>
  <c r="T89" i="16" s="1"/>
  <c r="O12" i="5"/>
  <c r="O13" i="5" s="1"/>
  <c r="O14" i="5" s="1"/>
  <c r="O15" i="5" s="1"/>
  <c r="I52" i="5" s="1"/>
  <c r="H17" i="16"/>
  <c r="E36" i="16"/>
  <c r="K36" i="16"/>
  <c r="D78" i="6"/>
  <c r="D50" i="16"/>
  <c r="K78" i="6"/>
  <c r="K50" i="16"/>
  <c r="M50" i="16"/>
  <c r="M78" i="6"/>
  <c r="M88" i="6" s="1"/>
  <c r="E78" i="6"/>
  <c r="E50" i="16"/>
  <c r="J92" i="6"/>
  <c r="N91" i="16"/>
  <c r="N113" i="6"/>
  <c r="I50" i="16"/>
  <c r="I78" i="6"/>
  <c r="N78" i="6"/>
  <c r="N88" i="6" s="1"/>
  <c r="N50" i="16"/>
  <c r="O103" i="6"/>
  <c r="G128" i="6" s="1"/>
  <c r="F128" i="6"/>
  <c r="O70" i="6"/>
  <c r="E141" i="6" s="1"/>
  <c r="G78" i="6"/>
  <c r="G50" i="16"/>
  <c r="F107" i="15"/>
  <c r="F113" i="15" s="1"/>
  <c r="D52" i="5" s="1"/>
  <c r="E52" i="5" s="1"/>
  <c r="J92" i="16"/>
  <c r="O92" i="16" s="1"/>
  <c r="C115" i="6"/>
  <c r="C93" i="16"/>
  <c r="H56" i="6"/>
  <c r="H30" i="16"/>
  <c r="O30" i="16" s="1"/>
  <c r="H44" i="6"/>
  <c r="O44" i="6" s="1"/>
  <c r="D137" i="6" s="1"/>
  <c r="O104" i="6"/>
  <c r="G129" i="6" s="1"/>
  <c r="F129" i="6"/>
  <c r="T13" i="16"/>
  <c r="D8" i="20"/>
  <c r="F8" i="20" s="1"/>
  <c r="L52" i="16"/>
  <c r="L80" i="6"/>
  <c r="N12" i="5"/>
  <c r="F130" i="6"/>
  <c r="O105" i="6"/>
  <c r="G130" i="6" s="1"/>
  <c r="L115" i="6"/>
  <c r="L93" i="16"/>
  <c r="K115" i="6"/>
  <c r="K93" i="16"/>
  <c r="I113" i="6"/>
  <c r="I91" i="16"/>
  <c r="H28" i="6"/>
  <c r="H9" i="9" s="1"/>
  <c r="H8" i="9" s="1"/>
  <c r="D100" i="9" s="1"/>
  <c r="D103" i="9" s="1"/>
  <c r="F62" i="6"/>
  <c r="F92" i="6"/>
  <c r="R105" i="6"/>
  <c r="J114" i="6" s="1"/>
  <c r="K92" i="6"/>
  <c r="E92" i="6"/>
  <c r="C92" i="6"/>
  <c r="D92" i="6"/>
  <c r="G92" i="6"/>
  <c r="M92" i="6"/>
  <c r="L92" i="6"/>
  <c r="I92" i="6"/>
  <c r="H92" i="6"/>
  <c r="M91" i="16"/>
  <c r="M113" i="6"/>
  <c r="O91" i="6"/>
  <c r="F140" i="6" s="1"/>
  <c r="G79" i="6"/>
  <c r="G51" i="16"/>
  <c r="G62" i="6"/>
  <c r="G67" i="6"/>
  <c r="G72" i="6" s="1"/>
  <c r="G45" i="9" s="1"/>
  <c r="G44" i="9" s="1"/>
  <c r="K79" i="6"/>
  <c r="K51" i="16"/>
  <c r="K62" i="6"/>
  <c r="K67" i="6"/>
  <c r="E79" i="6"/>
  <c r="E51" i="16"/>
  <c r="E62" i="6"/>
  <c r="E67" i="6"/>
  <c r="E72" i="6" s="1"/>
  <c r="E45" i="9" s="1"/>
  <c r="E44" i="9" s="1"/>
  <c r="J51" i="16"/>
  <c r="J79" i="6"/>
  <c r="J62" i="6"/>
  <c r="J67" i="6"/>
  <c r="O12" i="16"/>
  <c r="O17" i="16" s="1"/>
  <c r="C50" i="6"/>
  <c r="C27" i="9" s="1"/>
  <c r="C26" i="9" s="1"/>
  <c r="C79" i="6"/>
  <c r="C51" i="16"/>
  <c r="C67" i="6"/>
  <c r="C72" i="6" s="1"/>
  <c r="C45" i="9" s="1"/>
  <c r="C44" i="9" s="1"/>
  <c r="C62" i="6"/>
  <c r="M79" i="6"/>
  <c r="M51" i="16"/>
  <c r="M62" i="6"/>
  <c r="M67" i="6"/>
  <c r="M72" i="6" s="1"/>
  <c r="M45" i="9" s="1"/>
  <c r="M44" i="9" s="1"/>
  <c r="D80" i="6"/>
  <c r="D90" i="6" s="1"/>
  <c r="D52" i="16"/>
  <c r="T53" i="16"/>
  <c r="R33" i="16"/>
  <c r="G80" i="6"/>
  <c r="G52" i="16"/>
  <c r="H45" i="6"/>
  <c r="O45" i="6" s="1"/>
  <c r="H57" i="6"/>
  <c r="H31" i="16"/>
  <c r="O31" i="16" s="1"/>
  <c r="H40" i="6"/>
  <c r="O40" i="6" s="1"/>
  <c r="C88" i="16"/>
  <c r="D36" i="16"/>
  <c r="N80" i="6"/>
  <c r="N52" i="16"/>
  <c r="I102" i="6"/>
  <c r="I90" i="16" s="1"/>
  <c r="I71" i="16"/>
  <c r="C102" i="6"/>
  <c r="C71" i="16"/>
  <c r="J72" i="6"/>
  <c r="J45" i="9" s="1"/>
  <c r="J44" i="9" s="1"/>
  <c r="K72" i="6"/>
  <c r="K45" i="9" s="1"/>
  <c r="K44" i="9" s="1"/>
  <c r="H58" i="6"/>
  <c r="H32" i="16"/>
  <c r="O32" i="16" s="1"/>
  <c r="H46" i="6"/>
  <c r="O46" i="6" s="1"/>
  <c r="D139" i="6" s="1"/>
  <c r="O36" i="6"/>
  <c r="D127" i="6" s="1"/>
  <c r="D79" i="6"/>
  <c r="D51" i="16"/>
  <c r="D62" i="6"/>
  <c r="D67" i="6"/>
  <c r="L36" i="16"/>
  <c r="F100" i="6"/>
  <c r="F69" i="16"/>
  <c r="F51" i="16"/>
  <c r="F79" i="6"/>
  <c r="F67" i="6"/>
  <c r="F72" i="6" s="1"/>
  <c r="F45" i="9" s="1"/>
  <c r="F44" i="9" s="1"/>
  <c r="C36" i="16"/>
  <c r="C137" i="6"/>
  <c r="O58" i="6"/>
  <c r="E127" i="6" s="1"/>
  <c r="N70" i="16"/>
  <c r="N101" i="6"/>
  <c r="N89" i="6"/>
  <c r="O23" i="6"/>
  <c r="C138" i="6" s="1"/>
  <c r="J80" i="6"/>
  <c r="J90" i="6" s="1"/>
  <c r="J52" i="16"/>
  <c r="I79" i="6"/>
  <c r="I51" i="16"/>
  <c r="I56" i="16" s="1"/>
  <c r="I67" i="6"/>
  <c r="I72" i="6" s="1"/>
  <c r="I45" i="9" s="1"/>
  <c r="I44" i="9" s="1"/>
  <c r="I62" i="6"/>
  <c r="M80" i="6"/>
  <c r="M52" i="16"/>
  <c r="G36" i="16"/>
  <c r="J36" i="16"/>
  <c r="F52" i="16"/>
  <c r="F80" i="6"/>
  <c r="L79" i="6"/>
  <c r="L51" i="16"/>
  <c r="L67" i="6"/>
  <c r="L72" i="6" s="1"/>
  <c r="L45" i="9" s="1"/>
  <c r="L44" i="9" s="1"/>
  <c r="L78" i="6"/>
  <c r="L88" i="6" s="1"/>
  <c r="L62" i="6"/>
  <c r="L50" i="16"/>
  <c r="O35" i="6"/>
  <c r="D126" i="6" s="1"/>
  <c r="M36" i="16"/>
  <c r="E80" i="6"/>
  <c r="E52" i="16"/>
  <c r="K80" i="6"/>
  <c r="K52" i="16"/>
  <c r="N62" i="6"/>
  <c r="J61" i="16"/>
  <c r="J49" i="9" s="1"/>
  <c r="J52" i="9" s="1"/>
  <c r="L61" i="16"/>
  <c r="L49" i="9" s="1"/>
  <c r="L52" i="9" s="1"/>
  <c r="J22" i="16"/>
  <c r="J13" i="9" s="1"/>
  <c r="J16" i="9" s="1"/>
  <c r="M99" i="16"/>
  <c r="M85" i="9" s="1"/>
  <c r="M88" i="9" s="1"/>
  <c r="D53" i="5"/>
  <c r="E53" i="5" s="1"/>
  <c r="L42" i="16"/>
  <c r="L31" i="9" s="1"/>
  <c r="L34" i="9" s="1"/>
  <c r="M61" i="16"/>
  <c r="M49" i="9" s="1"/>
  <c r="M52" i="9" s="1"/>
  <c r="G22" i="16"/>
  <c r="G13" i="9" s="1"/>
  <c r="G16" i="9" s="1"/>
  <c r="F99" i="16"/>
  <c r="F85" i="9" s="1"/>
  <c r="F88" i="9" s="1"/>
  <c r="D99" i="16"/>
  <c r="D85" i="9" s="1"/>
  <c r="D88" i="9" s="1"/>
  <c r="M42" i="16"/>
  <c r="M31" i="9" s="1"/>
  <c r="M34" i="9" s="1"/>
  <c r="K42" i="16"/>
  <c r="K31" i="9" s="1"/>
  <c r="K34" i="9" s="1"/>
  <c r="D22" i="16"/>
  <c r="D13" i="9" s="1"/>
  <c r="D16" i="9" s="1"/>
  <c r="E42" i="16"/>
  <c r="E31" i="9" s="1"/>
  <c r="E34" i="9" s="1"/>
  <c r="N80" i="16"/>
  <c r="N67" i="9" s="1"/>
  <c r="N70" i="9" s="1"/>
  <c r="J42" i="16"/>
  <c r="J31" i="9" s="1"/>
  <c r="J34" i="9" s="1"/>
  <c r="K61" i="16"/>
  <c r="K49" i="9" s="1"/>
  <c r="K52" i="9" s="1"/>
  <c r="I22" i="16"/>
  <c r="I13" i="9" s="1"/>
  <c r="I16" i="9" s="1"/>
  <c r="M80" i="16"/>
  <c r="M67" i="9" s="1"/>
  <c r="M70" i="9" s="1"/>
  <c r="C42" i="16"/>
  <c r="C31" i="9" s="1"/>
  <c r="C34" i="9" s="1"/>
  <c r="I61" i="16"/>
  <c r="I49" i="9" s="1"/>
  <c r="I52" i="9" s="1"/>
  <c r="K80" i="16"/>
  <c r="K67" i="9" s="1"/>
  <c r="K70" i="9" s="1"/>
  <c r="D61" i="16"/>
  <c r="D49" i="9" s="1"/>
  <c r="D52" i="9" s="1"/>
  <c r="L99" i="16"/>
  <c r="L85" i="9" s="1"/>
  <c r="L88" i="9" s="1"/>
  <c r="K22" i="16"/>
  <c r="K13" i="9" s="1"/>
  <c r="K16" i="9" s="1"/>
  <c r="N42" i="16"/>
  <c r="N31" i="9" s="1"/>
  <c r="N34" i="9" s="1"/>
  <c r="N99" i="16"/>
  <c r="N85" i="9" s="1"/>
  <c r="N88" i="9" s="1"/>
  <c r="M22" i="16"/>
  <c r="M13" i="9" s="1"/>
  <c r="M16" i="9" s="1"/>
  <c r="I80" i="16"/>
  <c r="I67" i="9" s="1"/>
  <c r="I70" i="9" s="1"/>
  <c r="H61" i="16"/>
  <c r="H49" i="9" s="1"/>
  <c r="H52" i="9" s="1"/>
  <c r="N61" i="16"/>
  <c r="N49" i="9" s="1"/>
  <c r="N52" i="9" s="1"/>
  <c r="H22" i="16"/>
  <c r="H13" i="9" s="1"/>
  <c r="H16" i="9" s="1"/>
  <c r="C22" i="16"/>
  <c r="C13" i="9" s="1"/>
  <c r="C16" i="9" s="1"/>
  <c r="F22" i="16"/>
  <c r="F13" i="9" s="1"/>
  <c r="F16" i="9" s="1"/>
  <c r="E22" i="16"/>
  <c r="E13" i="9" s="1"/>
  <c r="E16" i="9" s="1"/>
  <c r="C80" i="16"/>
  <c r="C67" i="9" s="1"/>
  <c r="C70" i="9" s="1"/>
  <c r="E80" i="16"/>
  <c r="E67" i="9" s="1"/>
  <c r="E70" i="9" s="1"/>
  <c r="D80" i="16"/>
  <c r="D67" i="9" s="1"/>
  <c r="D70" i="9" s="1"/>
  <c r="H99" i="16"/>
  <c r="H85" i="9" s="1"/>
  <c r="H88" i="9" s="1"/>
  <c r="L22" i="16"/>
  <c r="L13" i="9" s="1"/>
  <c r="L16" i="9" s="1"/>
  <c r="D42" i="16"/>
  <c r="D31" i="9" s="1"/>
  <c r="D34" i="9" s="1"/>
  <c r="F61" i="16"/>
  <c r="F49" i="9" s="1"/>
  <c r="F52" i="9" s="1"/>
  <c r="G99" i="16"/>
  <c r="G85" i="9" s="1"/>
  <c r="G88" i="9" s="1"/>
  <c r="I99" i="16"/>
  <c r="I85" i="9" s="1"/>
  <c r="I88" i="9" s="1"/>
  <c r="F80" i="16"/>
  <c r="F67" i="9" s="1"/>
  <c r="F70" i="9" s="1"/>
  <c r="H80" i="16"/>
  <c r="H67" i="9" s="1"/>
  <c r="H70" i="9" s="1"/>
  <c r="G61" i="16"/>
  <c r="G49" i="9" s="1"/>
  <c r="G52" i="9" s="1"/>
  <c r="I42" i="16"/>
  <c r="I31" i="9" s="1"/>
  <c r="I34" i="9" s="1"/>
  <c r="H42" i="16"/>
  <c r="H31" i="9" s="1"/>
  <c r="H34" i="9" s="1"/>
  <c r="G42" i="16"/>
  <c r="G31" i="9" s="1"/>
  <c r="G34" i="9" s="1"/>
  <c r="C99" i="16"/>
  <c r="C85" i="9" s="1"/>
  <c r="C88" i="9" s="1"/>
  <c r="J99" i="16"/>
  <c r="J85" i="9" s="1"/>
  <c r="J88" i="9" s="1"/>
  <c r="E99" i="16"/>
  <c r="E85" i="9" s="1"/>
  <c r="E88" i="9" s="1"/>
  <c r="J80" i="16"/>
  <c r="J67" i="9" s="1"/>
  <c r="J70" i="9" s="1"/>
  <c r="L80" i="16"/>
  <c r="L67" i="9" s="1"/>
  <c r="L70" i="9" s="1"/>
  <c r="K99" i="16"/>
  <c r="K85" i="9" s="1"/>
  <c r="K88" i="9" s="1"/>
  <c r="E61" i="16"/>
  <c r="E49" i="9" s="1"/>
  <c r="E52" i="9" s="1"/>
  <c r="C61" i="16"/>
  <c r="C49" i="9" s="1"/>
  <c r="C52" i="9" s="1"/>
  <c r="N22" i="16"/>
  <c r="N13" i="9" s="1"/>
  <c r="N16" i="9" s="1"/>
  <c r="G80" i="16"/>
  <c r="G67" i="9" s="1"/>
  <c r="G70" i="9" s="1"/>
  <c r="D3" i="1"/>
  <c r="G5" i="1" s="1"/>
  <c r="C8" i="20" s="1"/>
  <c r="N13" i="5"/>
  <c r="N14" i="5" s="1"/>
  <c r="N15" i="5" s="1"/>
  <c r="N72" i="6"/>
  <c r="N45" i="9" s="1"/>
  <c r="N44" i="9" s="1"/>
  <c r="D72" i="6"/>
  <c r="D45" i="9" s="1"/>
  <c r="D44" i="9" s="1"/>
  <c r="N90" i="6"/>
  <c r="E90" i="6"/>
  <c r="I90" i="6"/>
  <c r="M90" i="6"/>
  <c r="C90" i="6"/>
  <c r="G90" i="6"/>
  <c r="K90" i="6"/>
  <c r="L90" i="6"/>
  <c r="R103" i="6"/>
  <c r="D88" i="6"/>
  <c r="C88" i="6"/>
  <c r="K88" i="6"/>
  <c r="D15" i="20"/>
  <c r="D19" i="20"/>
  <c r="D23" i="20"/>
  <c r="D16" i="20"/>
  <c r="D20" i="20"/>
  <c r="D24" i="20"/>
  <c r="D25" i="20"/>
  <c r="D17" i="20"/>
  <c r="D21" i="20"/>
  <c r="D14" i="20"/>
  <c r="D18" i="20"/>
  <c r="D22" i="20"/>
  <c r="F7" i="20"/>
  <c r="G88" i="6"/>
  <c r="J88" i="6"/>
  <c r="R101" i="6"/>
  <c r="F88" i="6"/>
  <c r="L56" i="16" l="1"/>
  <c r="G23" i="16"/>
  <c r="G17" i="9" s="1"/>
  <c r="G12" i="9" s="1"/>
  <c r="G10" i="9" s="1"/>
  <c r="G19" i="9" s="1"/>
  <c r="I14" i="19"/>
  <c r="H101" i="9"/>
  <c r="D131" i="6"/>
  <c r="N94" i="6"/>
  <c r="N63" i="9" s="1"/>
  <c r="N62" i="9" s="1"/>
  <c r="F84" i="6"/>
  <c r="N84" i="6"/>
  <c r="I23" i="16"/>
  <c r="I17" i="9" s="1"/>
  <c r="I12" i="9" s="1"/>
  <c r="I10" i="9" s="1"/>
  <c r="I19" i="9" s="1"/>
  <c r="F23" i="16"/>
  <c r="F17" i="9" s="1"/>
  <c r="F12" i="9" s="1"/>
  <c r="F10" i="9" s="1"/>
  <c r="F19" i="9" s="1"/>
  <c r="D23" i="16"/>
  <c r="D24" i="16" s="1"/>
  <c r="H23" i="16"/>
  <c r="H17" i="9" s="1"/>
  <c r="H12" i="9" s="1"/>
  <c r="H10" i="9" s="1"/>
  <c r="H19" i="9" s="1"/>
  <c r="K23" i="16"/>
  <c r="K24" i="16" s="1"/>
  <c r="C23" i="16"/>
  <c r="C17" i="9" s="1"/>
  <c r="C12" i="9" s="1"/>
  <c r="C10" i="9" s="1"/>
  <c r="N23" i="16"/>
  <c r="N17" i="9" s="1"/>
  <c r="N12" i="9" s="1"/>
  <c r="N10" i="9" s="1"/>
  <c r="N19" i="9" s="1"/>
  <c r="E55" i="5"/>
  <c r="I27" i="15" s="1"/>
  <c r="T18" i="16"/>
  <c r="N100" i="6"/>
  <c r="N88" i="16" s="1"/>
  <c r="N69" i="16"/>
  <c r="M100" i="6"/>
  <c r="M88" i="16" s="1"/>
  <c r="M69" i="16"/>
  <c r="E100" i="6"/>
  <c r="E88" i="16" s="1"/>
  <c r="E69" i="16"/>
  <c r="I69" i="16"/>
  <c r="I100" i="6"/>
  <c r="I88" i="16" s="1"/>
  <c r="N56" i="16"/>
  <c r="G100" i="6"/>
  <c r="G88" i="16" s="1"/>
  <c r="G69" i="16"/>
  <c r="K100" i="6"/>
  <c r="K88" i="16" s="1"/>
  <c r="K69" i="16"/>
  <c r="E88" i="6"/>
  <c r="D56" i="16"/>
  <c r="O113" i="6"/>
  <c r="G140" i="6" s="1"/>
  <c r="G8" i="20"/>
  <c r="H8" i="20" s="1"/>
  <c r="L23" i="16"/>
  <c r="L17" i="9" s="1"/>
  <c r="L12" i="9" s="1"/>
  <c r="L10" i="9" s="1"/>
  <c r="L19" i="9" s="1"/>
  <c r="D100" i="6"/>
  <c r="D88" i="16" s="1"/>
  <c r="D69" i="16"/>
  <c r="F90" i="6"/>
  <c r="O115" i="6"/>
  <c r="G142" i="6" s="1"/>
  <c r="O93" i="16"/>
  <c r="I88" i="6"/>
  <c r="O8" i="9"/>
  <c r="D10" i="19"/>
  <c r="O92" i="6"/>
  <c r="F141" i="6" s="1"/>
  <c r="M23" i="16"/>
  <c r="M17" i="9" s="1"/>
  <c r="M12" i="9" s="1"/>
  <c r="M10" i="9" s="1"/>
  <c r="M19" i="9" s="1"/>
  <c r="T32" i="16"/>
  <c r="J23" i="16"/>
  <c r="J17" i="9" s="1"/>
  <c r="J12" i="9" s="1"/>
  <c r="J10" i="9" s="1"/>
  <c r="J19" i="9" s="1"/>
  <c r="E23" i="16"/>
  <c r="E17" i="9" s="1"/>
  <c r="E12" i="9" s="1"/>
  <c r="E10" i="9" s="1"/>
  <c r="E19" i="9" s="1"/>
  <c r="F56" i="16"/>
  <c r="L102" i="6"/>
  <c r="L90" i="16" s="1"/>
  <c r="L71" i="16"/>
  <c r="N114" i="6"/>
  <c r="C114" i="6"/>
  <c r="F114" i="6"/>
  <c r="I114" i="6"/>
  <c r="K114" i="6"/>
  <c r="D114" i="6"/>
  <c r="G114" i="6"/>
  <c r="L114" i="6"/>
  <c r="E114" i="6"/>
  <c r="H114" i="6"/>
  <c r="M114" i="6"/>
  <c r="O91" i="16"/>
  <c r="H78" i="6"/>
  <c r="H50" i="16"/>
  <c r="O50" i="16" s="1"/>
  <c r="O56" i="6"/>
  <c r="E125" i="6" s="1"/>
  <c r="H66" i="6"/>
  <c r="O66" i="6" s="1"/>
  <c r="E137" i="6" s="1"/>
  <c r="D138" i="6"/>
  <c r="D143" i="6" s="1"/>
  <c r="O50" i="6"/>
  <c r="M102" i="6"/>
  <c r="M90" i="16" s="1"/>
  <c r="M71" i="16"/>
  <c r="I101" i="6"/>
  <c r="I70" i="16"/>
  <c r="I75" i="16" s="1"/>
  <c r="I84" i="6"/>
  <c r="I89" i="6"/>
  <c r="D101" i="6"/>
  <c r="D70" i="16"/>
  <c r="D84" i="6"/>
  <c r="D89" i="6"/>
  <c r="H80" i="6"/>
  <c r="H52" i="16"/>
  <c r="P52" i="16" s="1"/>
  <c r="H68" i="6"/>
  <c r="O68" i="6" s="1"/>
  <c r="E139" i="6" s="1"/>
  <c r="M56" i="16"/>
  <c r="C56" i="16"/>
  <c r="J101" i="6"/>
  <c r="J70" i="16"/>
  <c r="J84" i="6"/>
  <c r="J89" i="6"/>
  <c r="E56" i="16"/>
  <c r="K56" i="16"/>
  <c r="G56" i="16"/>
  <c r="D94" i="6"/>
  <c r="D63" i="9" s="1"/>
  <c r="D62" i="9" s="1"/>
  <c r="E102" i="6"/>
  <c r="E90" i="16" s="1"/>
  <c r="E71" i="16"/>
  <c r="L101" i="6"/>
  <c r="L70" i="16"/>
  <c r="L89" i="6"/>
  <c r="L94" i="6" s="1"/>
  <c r="L63" i="9" s="1"/>
  <c r="L62" i="9" s="1"/>
  <c r="H36" i="16"/>
  <c r="O36" i="16" s="1"/>
  <c r="G102" i="6"/>
  <c r="G90" i="16" s="1"/>
  <c r="G71" i="16"/>
  <c r="D102" i="6"/>
  <c r="D90" i="16" s="1"/>
  <c r="D71" i="16"/>
  <c r="M101" i="6"/>
  <c r="M70" i="16"/>
  <c r="M84" i="6"/>
  <c r="M89" i="6"/>
  <c r="M94" i="6" s="1"/>
  <c r="M63" i="9" s="1"/>
  <c r="M62" i="9" s="1"/>
  <c r="C101" i="6"/>
  <c r="C70" i="16"/>
  <c r="C89" i="6"/>
  <c r="C94" i="6" s="1"/>
  <c r="C63" i="9" s="1"/>
  <c r="C62" i="9" s="1"/>
  <c r="C84" i="6"/>
  <c r="J56" i="16"/>
  <c r="E101" i="6"/>
  <c r="E70" i="16"/>
  <c r="E84" i="6"/>
  <c r="E89" i="6"/>
  <c r="K101" i="6"/>
  <c r="K70" i="16"/>
  <c r="K84" i="6"/>
  <c r="K89" i="6"/>
  <c r="G101" i="6"/>
  <c r="G70" i="16"/>
  <c r="G84" i="6"/>
  <c r="G89" i="6"/>
  <c r="G94" i="6" s="1"/>
  <c r="G63" i="9" s="1"/>
  <c r="G62" i="9" s="1"/>
  <c r="L100" i="6"/>
  <c r="L110" i="6" s="1"/>
  <c r="L69" i="16"/>
  <c r="L75" i="16" s="1"/>
  <c r="L84" i="6"/>
  <c r="O78" i="6"/>
  <c r="F125" i="6" s="1"/>
  <c r="J102" i="6"/>
  <c r="J90" i="16" s="1"/>
  <c r="J71" i="16"/>
  <c r="O28" i="6"/>
  <c r="H51" i="16"/>
  <c r="H56" i="16" s="1"/>
  <c r="H79" i="6"/>
  <c r="H62" i="6"/>
  <c r="O62" i="6" s="1"/>
  <c r="H67" i="6"/>
  <c r="O67" i="6" s="1"/>
  <c r="E138" i="6" s="1"/>
  <c r="O57" i="6"/>
  <c r="E126" i="6" s="1"/>
  <c r="E131" i="6" s="1"/>
  <c r="J94" i="6"/>
  <c r="J63" i="9" s="1"/>
  <c r="J62" i="9" s="1"/>
  <c r="K102" i="6"/>
  <c r="K90" i="16" s="1"/>
  <c r="K71" i="16"/>
  <c r="F102" i="6"/>
  <c r="F90" i="16" s="1"/>
  <c r="F71" i="16"/>
  <c r="N89" i="16"/>
  <c r="N111" i="6"/>
  <c r="C143" i="6"/>
  <c r="C147" i="6" s="1"/>
  <c r="F101" i="6"/>
  <c r="F70" i="16"/>
  <c r="F89" i="6"/>
  <c r="F94" i="6" s="1"/>
  <c r="F63" i="9" s="1"/>
  <c r="F62" i="9" s="1"/>
  <c r="F88" i="16"/>
  <c r="C90" i="16"/>
  <c r="N102" i="6"/>
  <c r="N90" i="16" s="1"/>
  <c r="N71" i="16"/>
  <c r="N75" i="16" s="1"/>
  <c r="H50" i="6"/>
  <c r="H27" i="9" s="1"/>
  <c r="H26" i="9" s="1"/>
  <c r="T72" i="16"/>
  <c r="R53" i="16"/>
  <c r="P50" i="16"/>
  <c r="G8" i="1"/>
  <c r="AG39" i="1" s="1"/>
  <c r="AG42" i="1" s="1"/>
  <c r="G9" i="1"/>
  <c r="AN39" i="1" s="1"/>
  <c r="AN42" i="1" s="1"/>
  <c r="AN60" i="1" s="1"/>
  <c r="D82" i="8" s="1"/>
  <c r="D85" i="8" s="1"/>
  <c r="L39" i="1"/>
  <c r="L42" i="1" s="1"/>
  <c r="S13" i="16" s="1"/>
  <c r="G6" i="1"/>
  <c r="C9" i="20" s="1"/>
  <c r="D114" i="9"/>
  <c r="D23" i="19" s="1"/>
  <c r="G7" i="1"/>
  <c r="Z39" i="1" s="1"/>
  <c r="Z42" i="1" s="1"/>
  <c r="Z60" i="1" s="1"/>
  <c r="D53" i="8" s="1"/>
  <c r="D56" i="8" s="1"/>
  <c r="O80" i="16"/>
  <c r="F108" i="16" s="1"/>
  <c r="E114" i="9"/>
  <c r="E23" i="19" s="1"/>
  <c r="G4" i="1"/>
  <c r="G114" i="9"/>
  <c r="G23" i="19" s="1"/>
  <c r="H114" i="9"/>
  <c r="H23" i="19" s="1"/>
  <c r="F114" i="9"/>
  <c r="F23" i="19" s="1"/>
  <c r="O99" i="16"/>
  <c r="G108" i="16" s="1"/>
  <c r="O22" i="16"/>
  <c r="C108" i="16" s="1"/>
  <c r="O42" i="16"/>
  <c r="D108" i="16" s="1"/>
  <c r="O61" i="16"/>
  <c r="E108" i="16" s="1"/>
  <c r="L112" i="6"/>
  <c r="C112" i="6"/>
  <c r="G112" i="6"/>
  <c r="I112" i="6"/>
  <c r="M112" i="6"/>
  <c r="K94" i="6"/>
  <c r="K63" i="9" s="1"/>
  <c r="K62" i="9" s="1"/>
  <c r="K110" i="6"/>
  <c r="N110" i="6"/>
  <c r="F110" i="6"/>
  <c r="I110" i="6"/>
  <c r="D110" i="6"/>
  <c r="G110" i="6"/>
  <c r="J110" i="6"/>
  <c r="C110" i="6"/>
  <c r="M110" i="6"/>
  <c r="G24" i="16" l="1"/>
  <c r="K112" i="6"/>
  <c r="F106" i="6"/>
  <c r="J112" i="6"/>
  <c r="F112" i="6"/>
  <c r="I94" i="6"/>
  <c r="I63" i="9" s="1"/>
  <c r="I62" i="9" s="1"/>
  <c r="E94" i="6"/>
  <c r="E63" i="9" s="1"/>
  <c r="E62" i="9" s="1"/>
  <c r="E110" i="6"/>
  <c r="I24" i="16"/>
  <c r="K17" i="9"/>
  <c r="K12" i="9" s="1"/>
  <c r="K10" i="9" s="1"/>
  <c r="K19" i="9" s="1"/>
  <c r="N24" i="16"/>
  <c r="D17" i="9"/>
  <c r="D12" i="9" s="1"/>
  <c r="D10" i="9" s="1"/>
  <c r="D19" i="9" s="1"/>
  <c r="F24" i="16"/>
  <c r="H24" i="16"/>
  <c r="C108" i="9"/>
  <c r="H102" i="9" s="1"/>
  <c r="L24" i="16"/>
  <c r="C16" i="19"/>
  <c r="C14" i="19" s="1"/>
  <c r="C30" i="19" s="1"/>
  <c r="B72" i="5"/>
  <c r="B75" i="5" s="1"/>
  <c r="E62" i="5"/>
  <c r="C24" i="16"/>
  <c r="D112" i="6"/>
  <c r="E112" i="6"/>
  <c r="E143" i="6"/>
  <c r="E146" i="6" s="1"/>
  <c r="G75" i="16"/>
  <c r="E75" i="16"/>
  <c r="E24" i="16"/>
  <c r="M24" i="16"/>
  <c r="J24" i="16"/>
  <c r="O23" i="16"/>
  <c r="C109" i="16" s="1"/>
  <c r="C110" i="16" s="1"/>
  <c r="H72" i="6"/>
  <c r="H45" i="9" s="1"/>
  <c r="H44" i="9" s="1"/>
  <c r="O44" i="9" s="1"/>
  <c r="D146" i="6"/>
  <c r="D151" i="6"/>
  <c r="D147" i="6"/>
  <c r="D148" i="6"/>
  <c r="I43" i="16"/>
  <c r="C43" i="16"/>
  <c r="K43" i="16"/>
  <c r="F43" i="16"/>
  <c r="N43" i="16"/>
  <c r="E43" i="16"/>
  <c r="H43" i="16"/>
  <c r="T38" i="16"/>
  <c r="D43" i="16"/>
  <c r="M43" i="16"/>
  <c r="L43" i="16"/>
  <c r="G43" i="16"/>
  <c r="T52" i="16"/>
  <c r="J43" i="16"/>
  <c r="J75" i="16"/>
  <c r="K75" i="16"/>
  <c r="H100" i="6"/>
  <c r="O100" i="6" s="1"/>
  <c r="G125" i="6" s="1"/>
  <c r="H69" i="16"/>
  <c r="O69" i="16" s="1"/>
  <c r="H88" i="6"/>
  <c r="O88" i="6" s="1"/>
  <c r="F137" i="6" s="1"/>
  <c r="F75" i="16"/>
  <c r="O114" i="6"/>
  <c r="G141" i="6" s="1"/>
  <c r="D149" i="6"/>
  <c r="D150" i="6"/>
  <c r="O26" i="9"/>
  <c r="E100" i="9"/>
  <c r="G89" i="16"/>
  <c r="G94" i="16" s="1"/>
  <c r="G106" i="6"/>
  <c r="G111" i="6"/>
  <c r="G116" i="6" s="1"/>
  <c r="G81" i="9" s="1"/>
  <c r="G80" i="9" s="1"/>
  <c r="K89" i="16"/>
  <c r="K94" i="16" s="1"/>
  <c r="K106" i="6"/>
  <c r="K111" i="6"/>
  <c r="K116" i="6" s="1"/>
  <c r="K81" i="9" s="1"/>
  <c r="K80" i="9" s="1"/>
  <c r="E89" i="16"/>
  <c r="E94" i="16" s="1"/>
  <c r="E106" i="6"/>
  <c r="E111" i="6"/>
  <c r="C75" i="16"/>
  <c r="O72" i="6"/>
  <c r="P56" i="16"/>
  <c r="O52" i="16"/>
  <c r="N112" i="6"/>
  <c r="N116" i="6" s="1"/>
  <c r="N81" i="9" s="1"/>
  <c r="N80" i="9" s="1"/>
  <c r="N106" i="6"/>
  <c r="C89" i="16"/>
  <c r="C111" i="6"/>
  <c r="C106" i="6"/>
  <c r="M75" i="16"/>
  <c r="P51" i="16"/>
  <c r="F89" i="16"/>
  <c r="F94" i="16" s="1"/>
  <c r="F111" i="6"/>
  <c r="F116" i="6" s="1"/>
  <c r="F81" i="9" s="1"/>
  <c r="F80" i="9" s="1"/>
  <c r="N94" i="16"/>
  <c r="H101" i="6"/>
  <c r="H70" i="16"/>
  <c r="H84" i="6"/>
  <c r="O84" i="6" s="1"/>
  <c r="H89" i="6"/>
  <c r="O79" i="6"/>
  <c r="F126" i="6" s="1"/>
  <c r="M89" i="16"/>
  <c r="M94" i="16" s="1"/>
  <c r="M106" i="6"/>
  <c r="M111" i="6"/>
  <c r="M116" i="6" s="1"/>
  <c r="M81" i="9" s="1"/>
  <c r="M80" i="9" s="1"/>
  <c r="L89" i="16"/>
  <c r="L111" i="6"/>
  <c r="L116" i="6" s="1"/>
  <c r="L81" i="9" s="1"/>
  <c r="L80" i="9" s="1"/>
  <c r="O51" i="16"/>
  <c r="D75" i="16"/>
  <c r="I89" i="16"/>
  <c r="I94" i="16" s="1"/>
  <c r="I111" i="6"/>
  <c r="I116" i="6" s="1"/>
  <c r="I81" i="9" s="1"/>
  <c r="I80" i="9" s="1"/>
  <c r="I106" i="6"/>
  <c r="T91" i="16"/>
  <c r="R91" i="16" s="1"/>
  <c r="R72" i="16"/>
  <c r="C146" i="6"/>
  <c r="C149" i="6"/>
  <c r="C151" i="6"/>
  <c r="C150" i="6"/>
  <c r="C148" i="6"/>
  <c r="L88" i="16"/>
  <c r="L94" i="16" s="1"/>
  <c r="L106" i="6"/>
  <c r="O89" i="6"/>
  <c r="F138" i="6" s="1"/>
  <c r="J89" i="16"/>
  <c r="J94" i="16" s="1"/>
  <c r="J106" i="6"/>
  <c r="J111" i="6"/>
  <c r="J116" i="6" s="1"/>
  <c r="J81" i="9" s="1"/>
  <c r="J80" i="9" s="1"/>
  <c r="H102" i="6"/>
  <c r="H71" i="16"/>
  <c r="O71" i="16" s="1"/>
  <c r="H90" i="6"/>
  <c r="O90" i="6" s="1"/>
  <c r="F139" i="6" s="1"/>
  <c r="D89" i="16"/>
  <c r="D94" i="16" s="1"/>
  <c r="D106" i="6"/>
  <c r="D111" i="6"/>
  <c r="D116" i="6" s="1"/>
  <c r="D81" i="9" s="1"/>
  <c r="D80" i="9" s="1"/>
  <c r="O80" i="6"/>
  <c r="F127" i="6" s="1"/>
  <c r="G9" i="20"/>
  <c r="H9" i="20" s="1"/>
  <c r="S17" i="16"/>
  <c r="R17" i="16" s="1"/>
  <c r="S16" i="16"/>
  <c r="AG60" i="1"/>
  <c r="D67" i="8" s="1"/>
  <c r="D70" i="8" s="1"/>
  <c r="S39" i="1"/>
  <c r="S42" i="1" s="1"/>
  <c r="S60" i="1" s="1"/>
  <c r="D40" i="8" s="1"/>
  <c r="D43" i="8" s="1"/>
  <c r="S15" i="16"/>
  <c r="S34" i="16" s="1"/>
  <c r="R34" i="16" s="1"/>
  <c r="L60" i="1"/>
  <c r="D25" i="8" s="1"/>
  <c r="D28" i="8" s="1"/>
  <c r="G10" i="1"/>
  <c r="E39" i="1"/>
  <c r="E42" i="1" s="1"/>
  <c r="C7" i="20"/>
  <c r="G7" i="20" s="1"/>
  <c r="H7" i="20" s="1"/>
  <c r="C116" i="6"/>
  <c r="C81" i="9" s="1"/>
  <c r="C80" i="9" s="1"/>
  <c r="S32" i="16"/>
  <c r="R13" i="16"/>
  <c r="C19" i="9"/>
  <c r="E116" i="6" l="1"/>
  <c r="E81" i="9" s="1"/>
  <c r="E80" i="9" s="1"/>
  <c r="O56" i="16"/>
  <c r="D115" i="9"/>
  <c r="D112" i="9" s="1"/>
  <c r="D119" i="9" s="1"/>
  <c r="E151" i="6"/>
  <c r="O10" i="9"/>
  <c r="O19" i="9" s="1"/>
  <c r="E147" i="6"/>
  <c r="E150" i="6"/>
  <c r="E149" i="6"/>
  <c r="D72" i="5"/>
  <c r="D88" i="5" s="1"/>
  <c r="C88" i="5" s="1"/>
  <c r="E148" i="6"/>
  <c r="C106" i="9"/>
  <c r="C121" i="9" s="1"/>
  <c r="C117" i="9"/>
  <c r="C118" i="9" s="1"/>
  <c r="H19" i="19"/>
  <c r="O24" i="16"/>
  <c r="F100" i="9"/>
  <c r="F143" i="6"/>
  <c r="F146" i="6" s="1"/>
  <c r="G44" i="16"/>
  <c r="G35" i="9"/>
  <c r="G30" i="9" s="1"/>
  <c r="G28" i="9" s="1"/>
  <c r="G37" i="9" s="1"/>
  <c r="F35" i="9"/>
  <c r="F30" i="9" s="1"/>
  <c r="F28" i="9" s="1"/>
  <c r="F37" i="9" s="1"/>
  <c r="F44" i="16"/>
  <c r="L35" i="9"/>
  <c r="L30" i="9" s="1"/>
  <c r="L28" i="9" s="1"/>
  <c r="L37" i="9" s="1"/>
  <c r="L44" i="16"/>
  <c r="H35" i="9"/>
  <c r="H30" i="9" s="1"/>
  <c r="H28" i="9" s="1"/>
  <c r="H37" i="9" s="1"/>
  <c r="H44" i="16"/>
  <c r="K35" i="9"/>
  <c r="K30" i="9" s="1"/>
  <c r="K28" i="9" s="1"/>
  <c r="K37" i="9" s="1"/>
  <c r="K44" i="16"/>
  <c r="H88" i="16"/>
  <c r="O88" i="16" s="1"/>
  <c r="H110" i="6"/>
  <c r="O110" i="6" s="1"/>
  <c r="G137" i="6" s="1"/>
  <c r="J44" i="16"/>
  <c r="J35" i="9"/>
  <c r="J30" i="9" s="1"/>
  <c r="J28" i="9" s="1"/>
  <c r="J37" i="9" s="1"/>
  <c r="M44" i="16"/>
  <c r="M35" i="9"/>
  <c r="M30" i="9" s="1"/>
  <c r="M28" i="9" s="1"/>
  <c r="M37" i="9" s="1"/>
  <c r="E44" i="16"/>
  <c r="E35" i="9"/>
  <c r="E30" i="9" s="1"/>
  <c r="E28" i="9" s="1"/>
  <c r="E37" i="9" s="1"/>
  <c r="O43" i="16"/>
  <c r="C35" i="9"/>
  <c r="C44" i="16"/>
  <c r="I62" i="16"/>
  <c r="D62" i="16"/>
  <c r="L62" i="16"/>
  <c r="C62" i="16"/>
  <c r="N62" i="16"/>
  <c r="K62" i="16"/>
  <c r="E62" i="16"/>
  <c r="M62" i="16"/>
  <c r="H62" i="16"/>
  <c r="T57" i="16"/>
  <c r="T76" i="16" s="1"/>
  <c r="T95" i="16" s="1"/>
  <c r="G62" i="16"/>
  <c r="T71" i="16"/>
  <c r="J62" i="16"/>
  <c r="F62" i="16"/>
  <c r="D44" i="16"/>
  <c r="D35" i="9"/>
  <c r="D30" i="9" s="1"/>
  <c r="D28" i="9" s="1"/>
  <c r="D37" i="9" s="1"/>
  <c r="N35" i="9"/>
  <c r="N30" i="9" s="1"/>
  <c r="N28" i="9" s="1"/>
  <c r="N37" i="9" s="1"/>
  <c r="N44" i="16"/>
  <c r="I44" i="16"/>
  <c r="I35" i="9"/>
  <c r="I30" i="9" s="1"/>
  <c r="I28" i="9" s="1"/>
  <c r="I37" i="9" s="1"/>
  <c r="D153" i="6"/>
  <c r="H75" i="16"/>
  <c r="C94" i="16"/>
  <c r="H90" i="16"/>
  <c r="O90" i="16" s="1"/>
  <c r="H112" i="6"/>
  <c r="O112" i="6" s="1"/>
  <c r="G139" i="6" s="1"/>
  <c r="C153" i="6"/>
  <c r="H89" i="16"/>
  <c r="H106" i="6"/>
  <c r="O106" i="6" s="1"/>
  <c r="H111" i="6"/>
  <c r="O111" i="6" s="1"/>
  <c r="G138" i="6" s="1"/>
  <c r="O101" i="6"/>
  <c r="G126" i="6" s="1"/>
  <c r="E103" i="9"/>
  <c r="E10" i="19"/>
  <c r="H94" i="6"/>
  <c r="O70" i="16"/>
  <c r="O75" i="16" s="1"/>
  <c r="F131" i="6"/>
  <c r="O102" i="6"/>
  <c r="G127" i="6" s="1"/>
  <c r="S36" i="16"/>
  <c r="S56" i="16" s="1"/>
  <c r="S75" i="16" s="1"/>
  <c r="S54" i="16"/>
  <c r="R54" i="16" s="1"/>
  <c r="E17" i="20"/>
  <c r="F17" i="20" s="1"/>
  <c r="E20" i="20"/>
  <c r="F20" i="20" s="1"/>
  <c r="E22" i="20"/>
  <c r="F22" i="20" s="1"/>
  <c r="E19" i="20"/>
  <c r="F19" i="20" s="1"/>
  <c r="E14" i="20"/>
  <c r="F14" i="20" s="1"/>
  <c r="E16" i="20"/>
  <c r="F16" i="20" s="1"/>
  <c r="E21" i="20"/>
  <c r="F21" i="20" s="1"/>
  <c r="E24" i="20"/>
  <c r="F24" i="20" s="1"/>
  <c r="E25" i="20"/>
  <c r="F25" i="20" s="1"/>
  <c r="E18" i="20"/>
  <c r="F18" i="20" s="1"/>
  <c r="E23" i="20"/>
  <c r="F23" i="20" s="1"/>
  <c r="E15" i="20"/>
  <c r="F15" i="20" s="1"/>
  <c r="E13" i="20"/>
  <c r="F13" i="20" s="1"/>
  <c r="H10" i="20"/>
  <c r="R15" i="16"/>
  <c r="R16" i="16"/>
  <c r="S35" i="16"/>
  <c r="S12" i="16"/>
  <c r="E60" i="1"/>
  <c r="D10" i="8" s="1"/>
  <c r="D13" i="8" s="1"/>
  <c r="S52" i="16"/>
  <c r="R32" i="16"/>
  <c r="G131" i="6" l="1"/>
  <c r="D117" i="9"/>
  <c r="D118" i="9" s="1"/>
  <c r="D121" i="9" s="1"/>
  <c r="R36" i="16"/>
  <c r="D24" i="19"/>
  <c r="D21" i="19" s="1"/>
  <c r="D28" i="19" s="1"/>
  <c r="D30" i="19" s="1"/>
  <c r="E153" i="6"/>
  <c r="E49" i="14"/>
  <c r="E52" i="14" s="1"/>
  <c r="F49" i="14" s="1"/>
  <c r="D91" i="5"/>
  <c r="E87" i="5" s="1"/>
  <c r="D75" i="5"/>
  <c r="E72" i="5" s="1"/>
  <c r="F147" i="6"/>
  <c r="F150" i="6"/>
  <c r="H94" i="16"/>
  <c r="F149" i="6"/>
  <c r="F151" i="6"/>
  <c r="S73" i="16"/>
  <c r="R73" i="16" s="1"/>
  <c r="H116" i="6"/>
  <c r="F148" i="6"/>
  <c r="G143" i="6"/>
  <c r="G150" i="6" s="1"/>
  <c r="F103" i="9"/>
  <c r="F10" i="19"/>
  <c r="R56" i="16"/>
  <c r="G53" i="9"/>
  <c r="G48" i="9" s="1"/>
  <c r="G46" i="9" s="1"/>
  <c r="G55" i="9" s="1"/>
  <c r="G63" i="16"/>
  <c r="E63" i="16"/>
  <c r="E53" i="9"/>
  <c r="E48" i="9" s="1"/>
  <c r="E46" i="9" s="1"/>
  <c r="E55" i="9" s="1"/>
  <c r="L63" i="16"/>
  <c r="L53" i="9"/>
  <c r="L48" i="9" s="1"/>
  <c r="L46" i="9" s="1"/>
  <c r="L55" i="9" s="1"/>
  <c r="C30" i="9"/>
  <c r="C28" i="9" s="1"/>
  <c r="E115" i="9"/>
  <c r="F63" i="16"/>
  <c r="F53" i="9"/>
  <c r="F48" i="9" s="1"/>
  <c r="F46" i="9" s="1"/>
  <c r="F55" i="9" s="1"/>
  <c r="K53" i="9"/>
  <c r="K48" i="9" s="1"/>
  <c r="K46" i="9" s="1"/>
  <c r="K55" i="9" s="1"/>
  <c r="K63" i="16"/>
  <c r="D53" i="9"/>
  <c r="D48" i="9" s="1"/>
  <c r="D46" i="9" s="1"/>
  <c r="D55" i="9" s="1"/>
  <c r="D63" i="16"/>
  <c r="D109" i="16"/>
  <c r="D110" i="16" s="1"/>
  <c r="O44" i="16"/>
  <c r="J53" i="9"/>
  <c r="J48" i="9" s="1"/>
  <c r="J46" i="9" s="1"/>
  <c r="J55" i="9" s="1"/>
  <c r="J63" i="16"/>
  <c r="H63" i="16"/>
  <c r="H53" i="9"/>
  <c r="H48" i="9" s="1"/>
  <c r="H46" i="9" s="1"/>
  <c r="H55" i="9" s="1"/>
  <c r="N63" i="16"/>
  <c r="N53" i="9"/>
  <c r="N48" i="9" s="1"/>
  <c r="N46" i="9" s="1"/>
  <c r="N55" i="9" s="1"/>
  <c r="I53" i="9"/>
  <c r="I48" i="9" s="1"/>
  <c r="I46" i="9" s="1"/>
  <c r="I55" i="9" s="1"/>
  <c r="I63" i="16"/>
  <c r="F81" i="16"/>
  <c r="N81" i="16"/>
  <c r="G81" i="16"/>
  <c r="T90" i="16"/>
  <c r="I81" i="16"/>
  <c r="K81" i="16"/>
  <c r="H81" i="16"/>
  <c r="J81" i="16"/>
  <c r="C81" i="16"/>
  <c r="D81" i="16"/>
  <c r="L81" i="16"/>
  <c r="E81" i="16"/>
  <c r="M81" i="16"/>
  <c r="M53" i="9"/>
  <c r="M48" i="9" s="1"/>
  <c r="M46" i="9" s="1"/>
  <c r="M55" i="9" s="1"/>
  <c r="M63" i="16"/>
  <c r="O62" i="16"/>
  <c r="C63" i="16"/>
  <c r="C53" i="9"/>
  <c r="H63" i="9"/>
  <c r="H62" i="9" s="1"/>
  <c r="O94" i="6"/>
  <c r="O89" i="16"/>
  <c r="O94" i="16" s="1"/>
  <c r="S55" i="16"/>
  <c r="R35" i="16"/>
  <c r="S18" i="16"/>
  <c r="S31" i="16"/>
  <c r="R12" i="16"/>
  <c r="R18" i="16" s="1"/>
  <c r="C91" i="5"/>
  <c r="B88" i="5"/>
  <c r="D49" i="14"/>
  <c r="D52" i="14" s="1"/>
  <c r="R75" i="16"/>
  <c r="S94" i="16"/>
  <c r="R94" i="16" s="1"/>
  <c r="S71" i="16"/>
  <c r="R52" i="16"/>
  <c r="D26" i="19" l="1"/>
  <c r="E88" i="5"/>
  <c r="S92" i="16"/>
  <c r="R92" i="16" s="1"/>
  <c r="E70" i="5"/>
  <c r="E86" i="5"/>
  <c r="F48" i="14"/>
  <c r="F47" i="14"/>
  <c r="E71" i="5"/>
  <c r="C74" i="5"/>
  <c r="B74" i="5"/>
  <c r="F153" i="6"/>
  <c r="G149" i="6"/>
  <c r="G148" i="6"/>
  <c r="G147" i="6"/>
  <c r="G146" i="6"/>
  <c r="G151" i="6"/>
  <c r="H81" i="9"/>
  <c r="H80" i="9" s="1"/>
  <c r="O116" i="6"/>
  <c r="L71" i="9"/>
  <c r="L66" i="9" s="1"/>
  <c r="L64" i="9" s="1"/>
  <c r="L73" i="9" s="1"/>
  <c r="L82" i="16"/>
  <c r="H71" i="9"/>
  <c r="H66" i="9" s="1"/>
  <c r="H64" i="9" s="1"/>
  <c r="H73" i="9" s="1"/>
  <c r="H82" i="16"/>
  <c r="G71" i="9"/>
  <c r="G66" i="9" s="1"/>
  <c r="G64" i="9" s="1"/>
  <c r="G73" i="9" s="1"/>
  <c r="G82" i="16"/>
  <c r="E112" i="9"/>
  <c r="E24" i="19"/>
  <c r="E21" i="19" s="1"/>
  <c r="F115" i="9"/>
  <c r="C48" i="9"/>
  <c r="C46" i="9" s="1"/>
  <c r="D71" i="9"/>
  <c r="D66" i="9" s="1"/>
  <c r="D64" i="9" s="1"/>
  <c r="D73" i="9" s="1"/>
  <c r="D82" i="16"/>
  <c r="K71" i="9"/>
  <c r="K66" i="9" s="1"/>
  <c r="K64" i="9" s="1"/>
  <c r="K73" i="9" s="1"/>
  <c r="K82" i="16"/>
  <c r="N71" i="9"/>
  <c r="N66" i="9" s="1"/>
  <c r="N64" i="9" s="1"/>
  <c r="N73" i="9" s="1"/>
  <c r="N82" i="16"/>
  <c r="O28" i="9"/>
  <c r="O37" i="9" s="1"/>
  <c r="C37" i="9"/>
  <c r="M71" i="9"/>
  <c r="M66" i="9" s="1"/>
  <c r="M64" i="9" s="1"/>
  <c r="M73" i="9" s="1"/>
  <c r="M82" i="16"/>
  <c r="O81" i="16"/>
  <c r="C71" i="9"/>
  <c r="C82" i="16"/>
  <c r="I71" i="9"/>
  <c r="I66" i="9" s="1"/>
  <c r="I64" i="9" s="1"/>
  <c r="I73" i="9" s="1"/>
  <c r="I82" i="16"/>
  <c r="F71" i="9"/>
  <c r="F66" i="9" s="1"/>
  <c r="F64" i="9" s="1"/>
  <c r="F73" i="9" s="1"/>
  <c r="F82" i="16"/>
  <c r="O63" i="16"/>
  <c r="E109" i="16"/>
  <c r="E110" i="16" s="1"/>
  <c r="E71" i="9"/>
  <c r="E66" i="9" s="1"/>
  <c r="E64" i="9" s="1"/>
  <c r="E73" i="9" s="1"/>
  <c r="E82" i="16"/>
  <c r="J71" i="9"/>
  <c r="J66" i="9" s="1"/>
  <c r="J64" i="9" s="1"/>
  <c r="J73" i="9" s="1"/>
  <c r="J82" i="16"/>
  <c r="G100" i="16"/>
  <c r="L100" i="16"/>
  <c r="F100" i="16"/>
  <c r="I100" i="16"/>
  <c r="C100" i="16"/>
  <c r="K100" i="16"/>
  <c r="H100" i="16"/>
  <c r="E100" i="16"/>
  <c r="M100" i="16"/>
  <c r="J100" i="16"/>
  <c r="D100" i="16"/>
  <c r="N100" i="16"/>
  <c r="G100" i="9"/>
  <c r="O62" i="9"/>
  <c r="S74" i="16"/>
  <c r="R55" i="16"/>
  <c r="S38" i="16"/>
  <c r="R31" i="16"/>
  <c r="R38" i="16" s="1"/>
  <c r="S51" i="16"/>
  <c r="B91" i="5"/>
  <c r="C49" i="14"/>
  <c r="C52" i="14" s="1"/>
  <c r="H6" i="17"/>
  <c r="H13" i="17" s="1"/>
  <c r="H4" i="10"/>
  <c r="C11" i="10" s="1"/>
  <c r="C32" i="19"/>
  <c r="C31" i="19" s="1"/>
  <c r="C38" i="19" s="1"/>
  <c r="S90" i="16"/>
  <c r="R90" i="16" s="1"/>
  <c r="R71" i="16"/>
  <c r="E90" i="5" l="1"/>
  <c r="E74" i="5"/>
  <c r="F51" i="14"/>
  <c r="D74" i="5"/>
  <c r="G153" i="6"/>
  <c r="O80" i="9"/>
  <c r="H100" i="9"/>
  <c r="D101" i="16"/>
  <c r="D89" i="9"/>
  <c r="D84" i="9" s="1"/>
  <c r="D82" i="9" s="1"/>
  <c r="D91" i="9" s="1"/>
  <c r="H101" i="16"/>
  <c r="H89" i="9"/>
  <c r="H84" i="9" s="1"/>
  <c r="H82" i="9" s="1"/>
  <c r="H91" i="9" s="1"/>
  <c r="F89" i="9"/>
  <c r="F84" i="9" s="1"/>
  <c r="F82" i="9" s="1"/>
  <c r="F91" i="9" s="1"/>
  <c r="F101" i="16"/>
  <c r="E28" i="19"/>
  <c r="E30" i="19" s="1"/>
  <c r="E26" i="19"/>
  <c r="J101" i="16"/>
  <c r="J89" i="9"/>
  <c r="J84" i="9" s="1"/>
  <c r="J82" i="9" s="1"/>
  <c r="J91" i="9" s="1"/>
  <c r="K89" i="9"/>
  <c r="K84" i="9" s="1"/>
  <c r="K82" i="9" s="1"/>
  <c r="K91" i="9" s="1"/>
  <c r="K101" i="16"/>
  <c r="L89" i="9"/>
  <c r="L84" i="9" s="1"/>
  <c r="L82" i="9" s="1"/>
  <c r="L91" i="9" s="1"/>
  <c r="L101" i="16"/>
  <c r="E119" i="9"/>
  <c r="E117" i="9"/>
  <c r="E118" i="9" s="1"/>
  <c r="M89" i="9"/>
  <c r="M84" i="9" s="1"/>
  <c r="M82" i="9" s="1"/>
  <c r="M91" i="9" s="1"/>
  <c r="M101" i="16"/>
  <c r="C101" i="16"/>
  <c r="C89" i="9"/>
  <c r="O100" i="16"/>
  <c r="G89" i="9"/>
  <c r="G84" i="9" s="1"/>
  <c r="G82" i="9" s="1"/>
  <c r="G91" i="9" s="1"/>
  <c r="G101" i="16"/>
  <c r="G115" i="9"/>
  <c r="C66" i="9"/>
  <c r="C64" i="9" s="1"/>
  <c r="O46" i="9"/>
  <c r="O55" i="9" s="1"/>
  <c r="C55" i="9"/>
  <c r="N89" i="9"/>
  <c r="N84" i="9" s="1"/>
  <c r="N82" i="9" s="1"/>
  <c r="N91" i="9" s="1"/>
  <c r="N101" i="16"/>
  <c r="E89" i="9"/>
  <c r="E84" i="9" s="1"/>
  <c r="E82" i="9" s="1"/>
  <c r="E91" i="9" s="1"/>
  <c r="E101" i="16"/>
  <c r="I89" i="9"/>
  <c r="I84" i="9" s="1"/>
  <c r="I82" i="9" s="1"/>
  <c r="I91" i="9" s="1"/>
  <c r="I101" i="16"/>
  <c r="F109" i="16"/>
  <c r="F110" i="16" s="1"/>
  <c r="O82" i="16"/>
  <c r="F112" i="9"/>
  <c r="F24" i="19"/>
  <c r="F21" i="19" s="1"/>
  <c r="G10" i="19"/>
  <c r="G103" i="9"/>
  <c r="R74" i="16"/>
  <c r="S93" i="16"/>
  <c r="R93" i="16" s="1"/>
  <c r="R51" i="16"/>
  <c r="R57" i="16" s="1"/>
  <c r="S70" i="16"/>
  <c r="S57" i="16"/>
  <c r="S76" i="16" s="1"/>
  <c r="C17" i="10"/>
  <c r="AN11" i="10"/>
  <c r="C14" i="17"/>
  <c r="E14" i="17"/>
  <c r="K14" i="17" s="1"/>
  <c r="D15" i="10" s="1"/>
  <c r="I13" i="17"/>
  <c r="H10" i="19" l="1"/>
  <c r="H103" i="9"/>
  <c r="F28" i="19"/>
  <c r="F30" i="19" s="1"/>
  <c r="F26" i="19"/>
  <c r="C73" i="9"/>
  <c r="O64" i="9"/>
  <c r="O73" i="9" s="1"/>
  <c r="O101" i="16"/>
  <c r="G109" i="16"/>
  <c r="G110" i="16" s="1"/>
  <c r="F119" i="9"/>
  <c r="F117" i="9"/>
  <c r="F118" i="9" s="1"/>
  <c r="G112" i="9"/>
  <c r="G24" i="19"/>
  <c r="G21" i="19" s="1"/>
  <c r="G26" i="19" s="1"/>
  <c r="H115" i="9"/>
  <c r="C84" i="9"/>
  <c r="C82" i="9" s="1"/>
  <c r="E121" i="9"/>
  <c r="S95" i="16"/>
  <c r="R95" i="16" s="1"/>
  <c r="R76" i="16"/>
  <c r="S89" i="16"/>
  <c r="R89" i="16" s="1"/>
  <c r="R70" i="16"/>
  <c r="D14" i="10"/>
  <c r="D16" i="10" s="1"/>
  <c r="D17" i="10" s="1"/>
  <c r="H14" i="17"/>
  <c r="F121" i="9" l="1"/>
  <c r="G117" i="9"/>
  <c r="G118" i="9" s="1"/>
  <c r="G119" i="9"/>
  <c r="O82" i="9"/>
  <c r="O91" i="9" s="1"/>
  <c r="C91" i="9"/>
  <c r="H112" i="9"/>
  <c r="H24" i="19"/>
  <c r="H21" i="19" s="1"/>
  <c r="G28" i="19"/>
  <c r="G30" i="19" s="1"/>
  <c r="G38" i="19" s="1"/>
  <c r="E15" i="17"/>
  <c r="K15" i="17" s="1"/>
  <c r="E15" i="10" s="1"/>
  <c r="C15" i="17"/>
  <c r="E14" i="10" s="1"/>
  <c r="D13" i="10"/>
  <c r="G121" i="9" l="1"/>
  <c r="H28" i="19"/>
  <c r="H30" i="19" s="1"/>
  <c r="H38" i="19" s="1"/>
  <c r="H26" i="19"/>
  <c r="H119" i="9"/>
  <c r="H117" i="9"/>
  <c r="H118" i="9" s="1"/>
  <c r="H15" i="17"/>
  <c r="E16" i="17" s="1"/>
  <c r="K16" i="17" s="1"/>
  <c r="F15" i="10" s="1"/>
  <c r="E16" i="10"/>
  <c r="E17" i="10" s="1"/>
  <c r="H121" i="9" l="1"/>
  <c r="E13" i="10"/>
  <c r="C16" i="17"/>
  <c r="F14" i="10" s="1"/>
  <c r="F16" i="10" s="1"/>
  <c r="C129" i="9" l="1"/>
  <c r="C130" i="9"/>
  <c r="H16" i="17"/>
  <c r="H17" i="17" s="1"/>
  <c r="F17" i="10"/>
  <c r="R129" i="9" l="1"/>
  <c r="N129" i="9"/>
  <c r="J129" i="9"/>
  <c r="M129" i="9"/>
  <c r="Q129" i="9"/>
  <c r="I129" i="9"/>
  <c r="F13" i="10"/>
  <c r="C17" i="17"/>
  <c r="D17" i="17" s="1"/>
  <c r="E17" i="17"/>
  <c r="K17" i="17" s="1"/>
  <c r="G15" i="10" s="1"/>
  <c r="H18" i="17"/>
  <c r="C18" i="17"/>
  <c r="G13" i="10"/>
  <c r="E18" i="17"/>
  <c r="K18" i="17" s="1"/>
  <c r="H15" i="10" s="1"/>
  <c r="G14" i="10" l="1"/>
  <c r="G16" i="10" s="1"/>
  <c r="G17" i="10" s="1"/>
  <c r="G17" i="17"/>
  <c r="I17" i="17" s="1"/>
  <c r="C19" i="17"/>
  <c r="H13" i="10"/>
  <c r="E19" i="17"/>
  <c r="K19" i="17" s="1"/>
  <c r="I15" i="10" s="1"/>
  <c r="H19" i="17"/>
  <c r="H14" i="10"/>
  <c r="H16" i="10" s="1"/>
  <c r="H17" i="10" s="1"/>
  <c r="D18" i="17"/>
  <c r="G18" i="17"/>
  <c r="I18" i="17" s="1"/>
  <c r="H10" i="17" l="1"/>
  <c r="D20" i="17" s="1"/>
  <c r="E20" i="17"/>
  <c r="K20" i="17" s="1"/>
  <c r="J15" i="10" s="1"/>
  <c r="C20" i="17"/>
  <c r="J14" i="10" s="1"/>
  <c r="I13" i="10"/>
  <c r="G19" i="17"/>
  <c r="I19" i="17" s="1"/>
  <c r="I14" i="10"/>
  <c r="I16" i="10" s="1"/>
  <c r="I17" i="10" s="1"/>
  <c r="D19" i="17"/>
  <c r="J16" i="10" l="1"/>
  <c r="D21" i="17"/>
  <c r="D22" i="17" s="1"/>
  <c r="D23" i="17" s="1"/>
  <c r="D24" i="17" s="1"/>
  <c r="B20" i="17"/>
  <c r="G20" i="17" l="1"/>
  <c r="I20" i="17" s="1"/>
  <c r="J12" i="10"/>
  <c r="H20" i="17"/>
  <c r="D25" i="17"/>
  <c r="E21" i="17" l="1"/>
  <c r="K21" i="17" s="1"/>
  <c r="K15" i="10" s="1"/>
  <c r="C21" i="17"/>
  <c r="J17" i="10"/>
  <c r="J13" i="10"/>
  <c r="D26" i="17"/>
  <c r="B21" i="17" l="1"/>
  <c r="K14" i="10"/>
  <c r="D27" i="17"/>
  <c r="K16" i="10" l="1"/>
  <c r="G21" i="17"/>
  <c r="I21" i="17" s="1"/>
  <c r="K12" i="10"/>
  <c r="H21" i="17"/>
  <c r="D28" i="17"/>
  <c r="E22" i="17" l="1"/>
  <c r="K22" i="17" s="1"/>
  <c r="L15" i="10" s="1"/>
  <c r="C22" i="17"/>
  <c r="K17" i="10"/>
  <c r="K13" i="10"/>
  <c r="D29" i="17"/>
  <c r="L14" i="10" l="1"/>
  <c r="B22" i="17"/>
  <c r="D30" i="17"/>
  <c r="L16" i="10" l="1"/>
  <c r="L12" i="10"/>
  <c r="G22" i="17"/>
  <c r="I22" i="17" s="1"/>
  <c r="H22" i="17"/>
  <c r="D31" i="17"/>
  <c r="E23" i="17" l="1"/>
  <c r="K23" i="17" s="1"/>
  <c r="M15" i="10" s="1"/>
  <c r="C23" i="17"/>
  <c r="L17" i="10"/>
  <c r="L13" i="10"/>
  <c r="D32" i="17"/>
  <c r="M14" i="10" l="1"/>
  <c r="B23" i="17"/>
  <c r="D33" i="17"/>
  <c r="M16" i="10" l="1"/>
  <c r="G23" i="17"/>
  <c r="I23" i="17" s="1"/>
  <c r="M12" i="10"/>
  <c r="H23" i="17"/>
  <c r="D34" i="17"/>
  <c r="C24" i="17" l="1"/>
  <c r="E24" i="17"/>
  <c r="K24" i="17" s="1"/>
  <c r="N15" i="10" s="1"/>
  <c r="M17" i="10"/>
  <c r="M13" i="10"/>
  <c r="D35" i="17"/>
  <c r="B24" i="17" l="1"/>
  <c r="N14" i="10"/>
  <c r="D36" i="17"/>
  <c r="N16" i="10" l="1"/>
  <c r="N12" i="10"/>
  <c r="G24" i="17"/>
  <c r="I24" i="17" s="1"/>
  <c r="H24" i="17"/>
  <c r="D37" i="17"/>
  <c r="D38" i="17" s="1"/>
  <c r="D39" i="17" l="1"/>
  <c r="C25" i="17"/>
  <c r="E25" i="17"/>
  <c r="K25" i="17" s="1"/>
  <c r="N17" i="10"/>
  <c r="N13" i="10"/>
  <c r="D40" i="17" l="1"/>
  <c r="O15" i="10"/>
  <c r="D35" i="19"/>
  <c r="O14" i="10"/>
  <c r="B25" i="17"/>
  <c r="D41" i="17" l="1"/>
  <c r="D34" i="19"/>
  <c r="O16" i="10"/>
  <c r="D36" i="19" s="1"/>
  <c r="G25" i="17"/>
  <c r="I25" i="17" s="1"/>
  <c r="O12" i="10"/>
  <c r="H25" i="17"/>
  <c r="D42" i="17" l="1"/>
  <c r="O17" i="10"/>
  <c r="D33" i="19"/>
  <c r="D31" i="19" s="1"/>
  <c r="D38" i="19" s="1"/>
  <c r="O13" i="10"/>
  <c r="E26" i="17"/>
  <c r="K26" i="17" s="1"/>
  <c r="P15" i="10" s="1"/>
  <c r="C26" i="17"/>
  <c r="D43" i="17" l="1"/>
  <c r="P14" i="10"/>
  <c r="P16" i="10" s="1"/>
  <c r="B26" i="17"/>
  <c r="D44" i="17" l="1"/>
  <c r="P12" i="10"/>
  <c r="H26" i="17"/>
  <c r="G26" i="17"/>
  <c r="I26" i="17" s="1"/>
  <c r="D45" i="17" l="1"/>
  <c r="E27" i="17"/>
  <c r="K27" i="17" s="1"/>
  <c r="Q15" i="10" s="1"/>
  <c r="C27" i="17"/>
  <c r="P17" i="10"/>
  <c r="P13" i="10"/>
  <c r="D46" i="17" l="1"/>
  <c r="Q14" i="10"/>
  <c r="Q16" i="10" s="1"/>
  <c r="B27" i="17"/>
  <c r="D47" i="17" l="1"/>
  <c r="Q12" i="10"/>
  <c r="H27" i="17"/>
  <c r="G27" i="17"/>
  <c r="I27" i="17" s="1"/>
  <c r="D48" i="17" l="1"/>
  <c r="E28" i="17"/>
  <c r="K28" i="17" s="1"/>
  <c r="R15" i="10" s="1"/>
  <c r="C28" i="17"/>
  <c r="Q17" i="10"/>
  <c r="Q13" i="10"/>
  <c r="D49" i="17" l="1"/>
  <c r="R14" i="10"/>
  <c r="R16" i="10" s="1"/>
  <c r="B28" i="17"/>
  <c r="G28" i="17" l="1"/>
  <c r="I28" i="17" s="1"/>
  <c r="H28" i="17"/>
  <c r="R12" i="10"/>
  <c r="R17" i="10" l="1"/>
  <c r="R13" i="10"/>
  <c r="C29" i="17"/>
  <c r="E29" i="17"/>
  <c r="K29" i="17" s="1"/>
  <c r="S15" i="10" s="1"/>
  <c r="S14" i="10" l="1"/>
  <c r="S16" i="10" s="1"/>
  <c r="B29" i="17"/>
  <c r="G29" i="17" l="1"/>
  <c r="I29" i="17" s="1"/>
  <c r="S12" i="10"/>
  <c r="H29" i="17"/>
  <c r="E30" i="17" l="1"/>
  <c r="K30" i="17" s="1"/>
  <c r="T15" i="10" s="1"/>
  <c r="C30" i="17"/>
  <c r="S17" i="10"/>
  <c r="S13" i="10"/>
  <c r="B30" i="17" l="1"/>
  <c r="T14" i="10"/>
  <c r="T16" i="10" s="1"/>
  <c r="T12" i="10" l="1"/>
  <c r="H30" i="17"/>
  <c r="G30" i="17"/>
  <c r="I30" i="17" s="1"/>
  <c r="C31" i="17" l="1"/>
  <c r="E31" i="17"/>
  <c r="K31" i="17" s="1"/>
  <c r="U15" i="10" s="1"/>
  <c r="T17" i="10"/>
  <c r="T13" i="10"/>
  <c r="B31" i="17" l="1"/>
  <c r="U14" i="10"/>
  <c r="U16" i="10" s="1"/>
  <c r="U12" i="10" l="1"/>
  <c r="H31" i="17"/>
  <c r="G31" i="17"/>
  <c r="I31" i="17" s="1"/>
  <c r="E32" i="17" l="1"/>
  <c r="K32" i="17" s="1"/>
  <c r="V15" i="10" s="1"/>
  <c r="C32" i="17"/>
  <c r="U17" i="10"/>
  <c r="U13" i="10"/>
  <c r="B32" i="17" l="1"/>
  <c r="V14" i="10"/>
  <c r="V16" i="10" s="1"/>
  <c r="V12" i="10" l="1"/>
  <c r="H32" i="17"/>
  <c r="G32" i="17"/>
  <c r="I32" i="17" s="1"/>
  <c r="C33" i="17" l="1"/>
  <c r="E33" i="17"/>
  <c r="K33" i="17" s="1"/>
  <c r="W15" i="10" s="1"/>
  <c r="V17" i="10"/>
  <c r="V13" i="10"/>
  <c r="B33" i="17" l="1"/>
  <c r="W14" i="10"/>
  <c r="W16" i="10" s="1"/>
  <c r="W12" i="10" l="1"/>
  <c r="H33" i="17"/>
  <c r="G33" i="17"/>
  <c r="I33" i="17" s="1"/>
  <c r="E34" i="17" l="1"/>
  <c r="K34" i="17" s="1"/>
  <c r="X15" i="10" s="1"/>
  <c r="C34" i="17"/>
  <c r="W17" i="10"/>
  <c r="W13" i="10"/>
  <c r="X14" i="10" l="1"/>
  <c r="X16" i="10" s="1"/>
  <c r="B34" i="17"/>
  <c r="X12" i="10" l="1"/>
  <c r="H34" i="17"/>
  <c r="G34" i="17"/>
  <c r="I34" i="17" s="1"/>
  <c r="C35" i="17" l="1"/>
  <c r="E35" i="17"/>
  <c r="K35" i="17" s="1"/>
  <c r="Y15" i="10" s="1"/>
  <c r="X13" i="10"/>
  <c r="X17" i="10"/>
  <c r="Y14" i="10" l="1"/>
  <c r="Y16" i="10" s="1"/>
  <c r="B35" i="17"/>
  <c r="H35" i="17" l="1"/>
  <c r="Y12" i="10"/>
  <c r="G35" i="17"/>
  <c r="I35" i="17" s="1"/>
  <c r="Y17" i="10" l="1"/>
  <c r="Y13" i="10"/>
  <c r="C36" i="17"/>
  <c r="E36" i="17"/>
  <c r="K36" i="17" s="1"/>
  <c r="Z15" i="10" s="1"/>
  <c r="Z14" i="10" l="1"/>
  <c r="Z16" i="10" s="1"/>
  <c r="B36" i="17"/>
  <c r="Z12" i="10" l="1"/>
  <c r="H36" i="17"/>
  <c r="G36" i="17"/>
  <c r="I36" i="17" s="1"/>
  <c r="E37" i="17" l="1"/>
  <c r="K37" i="17" s="1"/>
  <c r="C37" i="17"/>
  <c r="Z17" i="10"/>
  <c r="Z13" i="10"/>
  <c r="AA14" i="10" l="1"/>
  <c r="B37" i="17"/>
  <c r="AA15" i="10"/>
  <c r="E35" i="19"/>
  <c r="AA12" i="10" l="1"/>
  <c r="G37" i="17"/>
  <c r="I37" i="17" s="1"/>
  <c r="H37" i="17"/>
  <c r="AA16" i="10"/>
  <c r="E36" i="19" s="1"/>
  <c r="E34" i="19"/>
  <c r="E38" i="17" l="1"/>
  <c r="K38" i="17" s="1"/>
  <c r="AB15" i="10" s="1"/>
  <c r="C38" i="17"/>
  <c r="AB14" i="10" s="1"/>
  <c r="E33" i="19"/>
  <c r="E31" i="19" s="1"/>
  <c r="E38" i="19" s="1"/>
  <c r="AA17" i="10"/>
  <c r="AA13" i="10"/>
  <c r="AB16" i="10" l="1"/>
  <c r="B38" i="17"/>
  <c r="AB12" i="10" s="1"/>
  <c r="AB13" i="10" l="1"/>
  <c r="AB17" i="10"/>
  <c r="G38" i="17"/>
  <c r="I38" i="17" s="1"/>
  <c r="H38" i="17"/>
  <c r="E39" i="17" l="1"/>
  <c r="C39" i="17"/>
  <c r="AC14" i="10" s="1"/>
  <c r="B39" i="17" l="1"/>
  <c r="AC12" i="10" s="1"/>
  <c r="K39" i="17"/>
  <c r="AC15" i="10" s="1"/>
  <c r="AC16" i="10" s="1"/>
  <c r="AC13" i="10" l="1"/>
  <c r="AC17" i="10"/>
  <c r="G39" i="17"/>
  <c r="H39" i="17"/>
  <c r="E40" i="17" l="1"/>
  <c r="C40" i="17"/>
  <c r="AD14" i="10" s="1"/>
  <c r="I39" i="17"/>
  <c r="B40" i="17" l="1"/>
  <c r="AD12" i="10" s="1"/>
  <c r="K40" i="17"/>
  <c r="AD15" i="10" s="1"/>
  <c r="AD16" i="10" s="1"/>
  <c r="AD13" i="10" l="1"/>
  <c r="AD17" i="10"/>
  <c r="G40" i="17"/>
  <c r="H40" i="17"/>
  <c r="E41" i="17" l="1"/>
  <c r="C41" i="17"/>
  <c r="AE14" i="10" s="1"/>
  <c r="I40" i="17"/>
  <c r="B41" i="17" l="1"/>
  <c r="AE12" i="10" s="1"/>
  <c r="K41" i="17"/>
  <c r="AE15" i="10" s="1"/>
  <c r="AE16" i="10" s="1"/>
  <c r="AE13" i="10" l="1"/>
  <c r="AE17" i="10"/>
  <c r="G41" i="17"/>
  <c r="H41" i="17"/>
  <c r="E42" i="17" l="1"/>
  <c r="C42" i="17"/>
  <c r="AF14" i="10" s="1"/>
  <c r="I41" i="17"/>
  <c r="K42" i="17" l="1"/>
  <c r="AF15" i="10" s="1"/>
  <c r="AF16" i="10" s="1"/>
  <c r="B42" i="17"/>
  <c r="AF12" i="10" s="1"/>
  <c r="AF13" i="10" l="1"/>
  <c r="AF17" i="10"/>
  <c r="G42" i="17"/>
  <c r="H42" i="17"/>
  <c r="E43" i="17" l="1"/>
  <c r="C43" i="17"/>
  <c r="AG14" i="10" s="1"/>
  <c r="I42" i="17"/>
  <c r="B43" i="17" l="1"/>
  <c r="AG12" i="10" s="1"/>
  <c r="K43" i="17"/>
  <c r="AG15" i="10" s="1"/>
  <c r="AG16" i="10" s="1"/>
  <c r="AG13" i="10" l="1"/>
  <c r="AG17" i="10"/>
  <c r="G43" i="17"/>
  <c r="H43" i="17"/>
  <c r="E44" i="17" l="1"/>
  <c r="K44" i="17" s="1"/>
  <c r="AH15" i="10" s="1"/>
  <c r="C44" i="17"/>
  <c r="AH14" i="10" s="1"/>
  <c r="I43" i="17"/>
  <c r="AH16" i="10" l="1"/>
  <c r="B44" i="17"/>
  <c r="AH12" i="10" s="1"/>
  <c r="AH13" i="10" l="1"/>
  <c r="AH17" i="10"/>
  <c r="G44" i="17"/>
  <c r="I44" i="17" s="1"/>
  <c r="H44" i="17"/>
  <c r="E45" i="17" l="1"/>
  <c r="K45" i="17" s="1"/>
  <c r="AI15" i="10" s="1"/>
  <c r="C45" i="17"/>
  <c r="AI14" i="10" s="1"/>
  <c r="AI16" i="10" l="1"/>
  <c r="B45" i="17"/>
  <c r="AI12" i="10" s="1"/>
  <c r="AI13" i="10" l="1"/>
  <c r="AI17" i="10"/>
  <c r="G45" i="17"/>
  <c r="I45" i="17" s="1"/>
  <c r="H45" i="17"/>
  <c r="E46" i="17" l="1"/>
  <c r="K46" i="17" s="1"/>
  <c r="AJ15" i="10" s="1"/>
  <c r="C46" i="17"/>
  <c r="AJ14" i="10" s="1"/>
  <c r="AJ16" i="10" l="1"/>
  <c r="B46" i="17"/>
  <c r="AJ12" i="10" s="1"/>
  <c r="AJ13" i="10" l="1"/>
  <c r="AJ17" i="10"/>
  <c r="G46" i="17"/>
  <c r="I46" i="17" s="1"/>
  <c r="H46" i="17"/>
  <c r="E47" i="17" l="1"/>
  <c r="K47" i="17" s="1"/>
  <c r="AK15" i="10" s="1"/>
  <c r="C47" i="17"/>
  <c r="AK14" i="10" s="1"/>
  <c r="AK16" i="10" l="1"/>
  <c r="B47" i="17"/>
  <c r="AK12" i="10" s="1"/>
  <c r="AK13" i="10" l="1"/>
  <c r="AK17" i="10"/>
  <c r="G47" i="17"/>
  <c r="I47" i="17" s="1"/>
  <c r="H47" i="17"/>
  <c r="E48" i="17" l="1"/>
  <c r="K48" i="17" s="1"/>
  <c r="AL15" i="10" s="1"/>
  <c r="C48" i="17"/>
  <c r="AL14" i="10" s="1"/>
  <c r="AL16" i="10" l="1"/>
  <c r="B48" i="17"/>
  <c r="AL12" i="10" s="1"/>
  <c r="AL13" i="10" l="1"/>
  <c r="AL17" i="10"/>
  <c r="G48" i="17"/>
  <c r="I48" i="17" s="1"/>
  <c r="H48" i="17"/>
  <c r="E49" i="17" l="1"/>
  <c r="C49" i="17"/>
  <c r="AM14" i="10" s="1"/>
  <c r="B49" i="17" l="1"/>
  <c r="AM12" i="10" s="1"/>
  <c r="C51" i="17"/>
  <c r="K49" i="17"/>
  <c r="AM15" i="10" s="1"/>
  <c r="AM16" i="10" s="1"/>
  <c r="E51" i="17"/>
  <c r="AM13" i="10" l="1"/>
  <c r="AM17" i="10"/>
  <c r="G49" i="17"/>
  <c r="B51" i="17"/>
  <c r="H49" i="17"/>
  <c r="AN15" i="10"/>
  <c r="F35" i="19"/>
  <c r="K51" i="17"/>
  <c r="F36" i="19"/>
  <c r="F34" i="19"/>
  <c r="AN14" i="10"/>
  <c r="AN17" i="10" l="1"/>
  <c r="F33" i="19"/>
  <c r="F31" i="19" s="1"/>
  <c r="F38" i="19" s="1"/>
  <c r="AN12" i="10"/>
  <c r="I49" i="17"/>
  <c r="I51" i="17" s="1"/>
  <c r="I52" i="17" s="1"/>
  <c r="G51" i="17"/>
  <c r="C47" i="19" l="1"/>
  <c r="C46" i="1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tc={7CD369BE-FB29-4354-BE1C-B28E0B183B83}</author>
  </authors>
  <commentList>
    <comment ref="B8" authorId="0" shapeId="0" xr:uid="{7CD369BE-FB29-4354-BE1C-B28E0B183B8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Costo de Almacenamiento usando Amazon Elastic File System tomando en cuenta que el 20% del total del almacenamiento se realiza mediante un Almacenamiento Standar(más caro) y el 80% restante con Almacenamiento de Acceso Poco Frecuente(más barato)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Marco</author>
  </authors>
  <commentList>
    <comment ref="G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 xml:space="preserve">Los activos a depreciar deben cumplir 3 condiciones:
*Tener un valor mayor a 1/4  UIT
*Tener vida util mayor a 1 año
*Ser usados para la produccion del bien o servicio. Las formulas lo calculan automaticamente </t>
        </r>
      </text>
    </comment>
    <comment ref="A52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Se considera los costos variables de las ventas del primer mes
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DM1-3170</author>
  </authors>
  <commentList>
    <comment ref="B134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DM1-3170:</t>
        </r>
        <r>
          <rPr>
            <sz val="9"/>
            <color indexed="81"/>
            <rFont val="Tahoma"/>
            <family val="2"/>
          </rPr>
          <t xml:space="preserve">
VANE: Valor Actual Neto Economico, situacion cuando el inversionista aporta toda la Inversion Inicial</t>
        </r>
      </text>
    </comment>
    <comment ref="B135" authorId="0" shapeId="0" xr:uid="{00000000-0006-0000-0900-000002000000}">
      <text>
        <r>
          <rPr>
            <b/>
            <sz val="9"/>
            <color indexed="81"/>
            <rFont val="Tahoma"/>
            <family val="2"/>
          </rPr>
          <t>DM1-3170:</t>
        </r>
        <r>
          <rPr>
            <sz val="9"/>
            <color indexed="81"/>
            <rFont val="Tahoma"/>
            <family val="2"/>
          </rPr>
          <t xml:space="preserve">
TIRE: Tasa Interna de Retorno Economico, situacion cuando el inversionista aporta toda la Inversion Inicial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Pedro Escobedo Rojas</author>
  </authors>
  <commentList>
    <comment ref="B51" authorId="0" shapeId="0" xr:uid="{00000000-0006-0000-0C00-000001000000}">
      <text>
        <r>
          <rPr>
            <b/>
            <sz val="8"/>
            <color indexed="81"/>
            <rFont val="Tahoma"/>
            <family val="2"/>
          </rPr>
          <t>Pedro Escobedo Rojas:</t>
        </r>
        <r>
          <rPr>
            <sz val="8"/>
            <color indexed="81"/>
            <rFont val="Tahoma"/>
            <family val="2"/>
          </rPr>
          <t xml:space="preserve">
VANF: Valor Actual Neto Financiero, situacion cuando se incurre en presatmos de terceros, para financiar la Inversion Inicial</t>
        </r>
      </text>
    </comment>
    <comment ref="B52" authorId="0" shapeId="0" xr:uid="{00000000-0006-0000-0C00-000002000000}">
      <text>
        <r>
          <rPr>
            <b/>
            <sz val="8"/>
            <color indexed="81"/>
            <rFont val="Tahoma"/>
            <family val="2"/>
          </rPr>
          <t>Pedro Escobedo Rojas:</t>
        </r>
        <r>
          <rPr>
            <sz val="8"/>
            <color indexed="81"/>
            <rFont val="Tahoma"/>
            <family val="2"/>
          </rPr>
          <t xml:space="preserve">
TIRF: Tasa Interna de Retorno Financiero, situacion cuando se incurre en presatmos de terceros, para financiar la Inversion Inicial</t>
        </r>
      </text>
    </comment>
  </commentList>
</comments>
</file>

<file path=xl/sharedStrings.xml><?xml version="1.0" encoding="utf-8"?>
<sst xmlns="http://schemas.openxmlformats.org/spreadsheetml/2006/main" count="935" uniqueCount="409">
  <si>
    <t>Las estimaciones y evaluaciones, de Ingresos y Egresos, consideran precios sin el I.G.V.</t>
  </si>
  <si>
    <r>
      <rPr>
        <b/>
        <sz val="12"/>
        <color theme="3"/>
        <rFont val="Arial"/>
        <family val="2"/>
      </rPr>
      <t>DETERMINACION DEL COK</t>
    </r>
    <r>
      <rPr>
        <b/>
        <sz val="12"/>
        <rFont val="Arial"/>
        <family val="2"/>
      </rPr>
      <t xml:space="preserve"> </t>
    </r>
    <r>
      <rPr>
        <sz val="11"/>
        <rFont val="Arial"/>
        <family val="2"/>
      </rPr>
      <t xml:space="preserve">(Costo del Capital o Tasa Minima Aceptable de Rendimiento </t>
    </r>
    <r>
      <rPr>
        <b/>
        <sz val="11"/>
        <rFont val="Arial"/>
        <family val="2"/>
      </rPr>
      <t>TMAR,</t>
    </r>
    <r>
      <rPr>
        <sz val="11"/>
        <rFont val="Arial"/>
        <family val="2"/>
      </rPr>
      <t xml:space="preserve"> para el negocio).</t>
    </r>
  </si>
  <si>
    <t>Hay varios metodos, para definir la tasa con que se aplicara la ecuacion de valor del VAN, para determinar la viabilidad del proyecto.</t>
  </si>
  <si>
    <t>Aplicamos este metodo que considera:</t>
  </si>
  <si>
    <r>
      <t xml:space="preserve">Inflación prom. Anual (se mantiene estable)            </t>
    </r>
    <r>
      <rPr>
        <b/>
        <sz val="11"/>
        <rFont val="Arial"/>
        <family val="2"/>
      </rPr>
      <t xml:space="preserve"> </t>
    </r>
    <r>
      <rPr>
        <b/>
        <sz val="11"/>
        <color indexed="10"/>
        <rFont val="Arial"/>
        <family val="2"/>
      </rPr>
      <t>(f)</t>
    </r>
  </si>
  <si>
    <t>Tasa de rendimiento del mercado prom. Anual</t>
  </si>
  <si>
    <r>
      <t xml:space="preserve">Tasa de Riesgo del Inversionista                            </t>
    </r>
    <r>
      <rPr>
        <b/>
        <sz val="11"/>
        <rFont val="Arial"/>
        <family val="2"/>
      </rPr>
      <t xml:space="preserve"> </t>
    </r>
    <r>
      <rPr>
        <b/>
        <sz val="11"/>
        <color indexed="10"/>
        <rFont val="Arial"/>
        <family val="2"/>
      </rPr>
      <t>(i)</t>
    </r>
  </si>
  <si>
    <t>Entonces i = 10%+15%  =</t>
  </si>
  <si>
    <t>Costo de Oportunidad del Capital (COK)    =</t>
  </si>
  <si>
    <t>f:inflacion promedio</t>
  </si>
  <si>
    <t>o Tasa Minima Aceptable de Rendim. (TMAR)</t>
  </si>
  <si>
    <t>i:premio al riesgo del sector o mercado + riesgo adicional</t>
  </si>
  <si>
    <t>considerado por el empresario</t>
  </si>
  <si>
    <t>Considera periodo de evaluacion 5 años.</t>
  </si>
  <si>
    <t>La inversion inicial, es cubierta por el empresario (no hay financiamiento).</t>
  </si>
  <si>
    <t>Las proyecciones de ventas, considera los estudios previos de mercado.</t>
  </si>
  <si>
    <t>Se considera un incremento de las ventas del 10% respecto del año anterior,  en los siguientes años.</t>
  </si>
  <si>
    <t xml:space="preserve">indicar como piensan crecer en ventas anualmente en porcentaje </t>
  </si>
  <si>
    <t>individual para cada año</t>
  </si>
  <si>
    <r>
      <rPr>
        <b/>
        <sz val="12"/>
        <color theme="3"/>
        <rFont val="Arial"/>
        <family val="2"/>
      </rPr>
      <t>DETERMINACION DEL WACC</t>
    </r>
    <r>
      <rPr>
        <b/>
        <sz val="12"/>
        <rFont val="Arial"/>
        <family val="2"/>
      </rPr>
      <t xml:space="preserve"> </t>
    </r>
    <r>
      <rPr>
        <sz val="11"/>
        <rFont val="Arial"/>
        <family val="2"/>
      </rPr>
      <t>(Costo Promedio Ponderado del Capital CPPC; para aplicarse cuando hay financiamiento de terceros).</t>
    </r>
  </si>
  <si>
    <t xml:space="preserve">La  evaluacion del proyecto se realizará previo calculo del Costo del Capital (COK), así como el Costo Promedio Ponderado del Capital (WACC), </t>
  </si>
  <si>
    <t>en el año cero.</t>
  </si>
  <si>
    <t>ESTIMACION DE LA TASA DE DESCUENTO : WACC</t>
  </si>
  <si>
    <t>AÑO : 0</t>
  </si>
  <si>
    <t>Tipos de Fuentes</t>
  </si>
  <si>
    <t>Valor S/.</t>
  </si>
  <si>
    <t>Total Inversión   S/.</t>
  </si>
  <si>
    <t>APORTE PROPIO</t>
  </si>
  <si>
    <t>PRESTAMO</t>
  </si>
  <si>
    <t>TOTAL</t>
  </si>
  <si>
    <t>% v</t>
  </si>
  <si>
    <t>Inversiones</t>
  </si>
  <si>
    <t>Activos Fijos</t>
  </si>
  <si>
    <t>Intangibles</t>
  </si>
  <si>
    <t>Capital de Trabajo</t>
  </si>
  <si>
    <t>Peso</t>
  </si>
  <si>
    <t>TOTAL INVERSION</t>
  </si>
  <si>
    <t>COSTO</t>
  </si>
  <si>
    <t>COK</t>
  </si>
  <si>
    <t>WACC</t>
  </si>
  <si>
    <t>DETERMINAR:</t>
  </si>
  <si>
    <t>Las proyecciones de Ingresos, cuadro de Inversion Inicial, Depreciacion, Costos,  Costo Unitario, Precio de Venta, Punto de</t>
  </si>
  <si>
    <t>Equilibrio, Flujo de Caja Economico y Evaluacion Economica del proyecto y el Analisis Financiero (Plan Financiero, analisis de Rentabilidad).</t>
  </si>
  <si>
    <t>PROYECCION DE VENTAS DEL PLAN DE NEGOCIO</t>
  </si>
  <si>
    <t>(segùn el estudio de mercado)</t>
  </si>
  <si>
    <t>Proyección Mensual (Primer Año)</t>
  </si>
  <si>
    <t>En unidades</t>
  </si>
  <si>
    <t>Precio de Venta</t>
  </si>
  <si>
    <t>Incremento de las ventas</t>
  </si>
  <si>
    <t>Visitas mensuales</t>
  </si>
  <si>
    <t>Total</t>
  </si>
  <si>
    <t>(Nuevos Soles)</t>
  </si>
  <si>
    <t>Producto</t>
  </si>
  <si>
    <t>PV</t>
  </si>
  <si>
    <t>año1</t>
  </si>
  <si>
    <t>año2</t>
  </si>
  <si>
    <t>año3</t>
  </si>
  <si>
    <t>año4</t>
  </si>
  <si>
    <t>año5</t>
  </si>
  <si>
    <t>En Soles</t>
  </si>
  <si>
    <t>1/ Estimacion según el estudio de mercado</t>
  </si>
  <si>
    <t xml:space="preserve">    En los sgtes. años se considera incremento</t>
  </si>
  <si>
    <t xml:space="preserve">    mostrado en la tabla de la derecha para </t>
  </si>
  <si>
    <t>Totales</t>
  </si>
  <si>
    <t xml:space="preserve">    cada año</t>
  </si>
  <si>
    <t>Proyección Mensual (Segundo Año)</t>
  </si>
  <si>
    <t>Proyección Mensual (Tercero Año)</t>
  </si>
  <si>
    <t>Proyección Mensual (Cuarto Año)</t>
  </si>
  <si>
    <t>Proyección Mensual (Quinto Año)</t>
  </si>
  <si>
    <t>Proyección de Ventas Anual del proyecto</t>
  </si>
  <si>
    <t xml:space="preserve">  PROPORCION DE VENTAS</t>
  </si>
  <si>
    <t xml:space="preserve">    (Valores referenciales)</t>
  </si>
  <si>
    <t>INVERSIONES DEL PLAN DE NEGOCIO</t>
  </si>
  <si>
    <t>Tipo de cambio</t>
  </si>
  <si>
    <t>ESTRUCTURA DE LA INVERSION INICIAL</t>
  </si>
  <si>
    <t>UIT</t>
  </si>
  <si>
    <t>Inversiones (soles)</t>
  </si>
  <si>
    <t>CONCEPTO</t>
  </si>
  <si>
    <t>U.M.</t>
  </si>
  <si>
    <t>CANT.</t>
  </si>
  <si>
    <t>P.UNIT</t>
  </si>
  <si>
    <t>DEPRECIACION DE ACTIVOS</t>
  </si>
  <si>
    <t>S/.</t>
  </si>
  <si>
    <t>% Depreciacion</t>
  </si>
  <si>
    <t>Vida Util años</t>
  </si>
  <si>
    <t>Depr. Anual</t>
  </si>
  <si>
    <t>Depr. Mes</t>
  </si>
  <si>
    <t>ACTIVOS FIJOS</t>
  </si>
  <si>
    <t>Deprec. Anual</t>
  </si>
  <si>
    <t>Depr Acum.</t>
  </si>
  <si>
    <t>Valor Residual</t>
  </si>
  <si>
    <t xml:space="preserve">      I. Maquinaria y equipo</t>
  </si>
  <si>
    <t>Ud</t>
  </si>
  <si>
    <t>ud</t>
  </si>
  <si>
    <t>Al cierre del 5to. año se tiene un Valor Residual de S/. 4,736.25.</t>
  </si>
  <si>
    <t>Sub total S/.</t>
  </si>
  <si>
    <t xml:space="preserve">      II. Muebles y enseres</t>
  </si>
  <si>
    <t>III CAPITAL DE TRABAJO</t>
  </si>
  <si>
    <t xml:space="preserve">     Costos variables</t>
  </si>
  <si>
    <t>mes</t>
  </si>
  <si>
    <t>VALOR DE SALVAMENTO  =</t>
  </si>
  <si>
    <t xml:space="preserve">     Costos y gastos fijos</t>
  </si>
  <si>
    <t>O VALOR RESIDUAL</t>
  </si>
  <si>
    <t>IV GASTOS PREOPERATIVOS</t>
  </si>
  <si>
    <t>Plan de negocio, estudios</t>
  </si>
  <si>
    <t>Licencias y constitucion de empresa</t>
  </si>
  <si>
    <t>Pagina web</t>
  </si>
  <si>
    <t>Amortización</t>
  </si>
  <si>
    <t>Total Inversiones</t>
  </si>
  <si>
    <t>CASO 1: PARA DETERMINAR EVALUACION ECONOMICA (VANE Y TIRE)</t>
  </si>
  <si>
    <t xml:space="preserve">                    FINANCIAMIENTO DE LA INVERSION : AÑO 0</t>
  </si>
  <si>
    <t>%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</si>
  <si>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Se considera que el 100% de la Inversion inicial, lo asumirà el Inversionista.</t>
    </r>
  </si>
  <si>
    <t>CASO 2: PARA DETERMINAR EVALUACION FINANCIERA (VANF Y TIRF)</t>
  </si>
  <si>
    <t xml:space="preserve">           se financiara conprestamo bancario.</t>
  </si>
  <si>
    <t>ESTRUCTURA DE COSTOS DEL PLAN DE NEGOCIO</t>
  </si>
  <si>
    <t>Descripción</t>
  </si>
  <si>
    <t>Cantidad</t>
  </si>
  <si>
    <t>Valor Unitario</t>
  </si>
  <si>
    <t>Monto</t>
  </si>
  <si>
    <t>Utiles de escritorio</t>
  </si>
  <si>
    <t>Agua</t>
  </si>
  <si>
    <t>Depreciacion</t>
  </si>
  <si>
    <t>Amortizacion de intangibles</t>
  </si>
  <si>
    <t>TOTAL COSTOS FIJOS MENSUAL</t>
  </si>
  <si>
    <t>COSTOS VARIABLES (PARA UNA UNIDAD DE PRODUCTO/SERVICIO)</t>
  </si>
  <si>
    <t>Sub Total</t>
  </si>
  <si>
    <t>COSTO VARIABLE UNIT. X Servicio</t>
  </si>
  <si>
    <t>Servicio a realizar</t>
  </si>
  <si>
    <t>gr</t>
  </si>
  <si>
    <t>COSTO VARIABLE MENSUAL (PRIMER MES)</t>
  </si>
  <si>
    <t xml:space="preserve">Se toma el promedio de las ventas proyectadas del primer año </t>
  </si>
  <si>
    <t>COSTOS VARIABLES (PRIMER MES)</t>
  </si>
  <si>
    <t>COSTO VARIABLE UNIT</t>
  </si>
  <si>
    <t>COSTOS FIJOS (CF)</t>
  </si>
  <si>
    <t>PROPORCION DE VENTAS</t>
  </si>
  <si>
    <t>ASIGNACION (CF) X SERVICIO</t>
  </si>
  <si>
    <t>TOTAL COSTO FIJO</t>
  </si>
  <si>
    <t>COSTOS UNITARIOS DEL PLAN DE NEGOCIO</t>
  </si>
  <si>
    <t>COSTO VARIABLE UNITARIO (CVU)</t>
  </si>
  <si>
    <t>Obtenido en la estructura de costos</t>
  </si>
  <si>
    <t>CVU</t>
  </si>
  <si>
    <t>COSTO FIJO UNITARIO (CFU)</t>
  </si>
  <si>
    <t>CF:</t>
  </si>
  <si>
    <t>Costo Fijo Mensual</t>
  </si>
  <si>
    <t>Q :</t>
  </si>
  <si>
    <t>Producción Estimada Mensual (Cercana al punto de equilibrio)</t>
  </si>
  <si>
    <t>CF :</t>
  </si>
  <si>
    <t>CFU</t>
  </si>
  <si>
    <t>COSTO TOTAL UNITARIO (CTU)</t>
  </si>
  <si>
    <t>Donde:</t>
  </si>
  <si>
    <t>Costo Variable Unitario</t>
  </si>
  <si>
    <t>Costo Fijo Unitario</t>
  </si>
  <si>
    <t>CTU</t>
  </si>
  <si>
    <t>PROYECCION DE EGRESOS DEL PLAN DE NEGOCIO</t>
  </si>
  <si>
    <t>Egresos En Soles</t>
  </si>
  <si>
    <t>Costos</t>
  </si>
  <si>
    <t xml:space="preserve">    Costos fijos</t>
  </si>
  <si>
    <t xml:space="preserve">    Costos variables</t>
  </si>
  <si>
    <t>Proyección de Egresos Anual del proyecto</t>
  </si>
  <si>
    <t>DETERMINACION DEL PRECIO DE VENTA</t>
  </si>
  <si>
    <t>PV = CTU  +  G</t>
  </si>
  <si>
    <t>PVC</t>
  </si>
  <si>
    <t>=</t>
  </si>
  <si>
    <t>Ingrese el precio de venta de la competencia (Referencial)</t>
  </si>
  <si>
    <t>(cálculo automático)</t>
  </si>
  <si>
    <t>G</t>
  </si>
  <si>
    <t>ingrese la ganancia esperada como % del precio de venta</t>
  </si>
  <si>
    <t>Precio de Venta sugerido</t>
  </si>
  <si>
    <t>Precio de Venta fijado por debajo de la competencia</t>
  </si>
  <si>
    <t>FLUJO DE CAJA OPERATIVO DEL PLAN DE NEGOCIO</t>
  </si>
  <si>
    <t>PRIMER AÑO</t>
  </si>
  <si>
    <t>(Expresado en Soles)</t>
  </si>
  <si>
    <t>INGRESOS (A)</t>
  </si>
  <si>
    <t>Ventas</t>
  </si>
  <si>
    <t>EGRESOS (B)</t>
  </si>
  <si>
    <t>Costos Fijos</t>
  </si>
  <si>
    <t>Amortizacion de Intangibles</t>
  </si>
  <si>
    <t>Costos Fijos Netos</t>
  </si>
  <si>
    <t>Costos Variables</t>
  </si>
  <si>
    <t>FLUJO NETO (A-B)</t>
  </si>
  <si>
    <t xml:space="preserve">SEGUNDO AÑO </t>
  </si>
  <si>
    <t xml:space="preserve">TERCER AÑO  </t>
  </si>
  <si>
    <t xml:space="preserve">CUARTO AÑO  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</si>
  <si>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en el 9no. Mes del 4to año, considera el saldo del ultimo importe mensual de Depreciacion.</t>
    </r>
  </si>
  <si>
    <t xml:space="preserve">         en el 10mo mes, la depreciacion es cero.</t>
  </si>
  <si>
    <t xml:space="preserve">QUINTO AÑO  </t>
  </si>
  <si>
    <t>FLUJO DE CAJA ECONOMICO DEL PROYECTO</t>
  </si>
  <si>
    <t>PERIODO 0</t>
  </si>
  <si>
    <t>AÑO 1</t>
  </si>
  <si>
    <t>AÑO 2</t>
  </si>
  <si>
    <t>AÑO 3</t>
  </si>
  <si>
    <t>AÑO 4</t>
  </si>
  <si>
    <t>AÑO 5</t>
  </si>
  <si>
    <t xml:space="preserve"> </t>
  </si>
  <si>
    <t>INGRESOS</t>
  </si>
  <si>
    <t>VENTAS TOTALES</t>
  </si>
  <si>
    <t>Valor de Rescate (Liquidación Activos)</t>
  </si>
  <si>
    <t>Recuperación del Capital de Trabajo</t>
  </si>
  <si>
    <t>INGRESOS TOTALES</t>
  </si>
  <si>
    <t>EGRESOS</t>
  </si>
  <si>
    <t>INVERSIÓN TOTAL</t>
  </si>
  <si>
    <t>ACTIVO FIJO</t>
  </si>
  <si>
    <t>CAPITAL DE TRABAJO</t>
  </si>
  <si>
    <t>GASTOS PRE-OPERATIVOS</t>
  </si>
  <si>
    <t xml:space="preserve">COSTOS </t>
  </si>
  <si>
    <t>COSTOS FIJOS</t>
  </si>
  <si>
    <t>COSTOS VARIABLES</t>
  </si>
  <si>
    <t>EGRESOS TOTALES</t>
  </si>
  <si>
    <t>INGRESOS - EGRESOS</t>
  </si>
  <si>
    <t>IMPUESTO A LA RENTA (30%)</t>
  </si>
  <si>
    <t>FLUJO DE CAJA ECONÓMICO</t>
  </si>
  <si>
    <t>Elaboración propia</t>
  </si>
  <si>
    <t>COK ANUAL (%)</t>
  </si>
  <si>
    <t>COK MENSUAL (%)</t>
  </si>
  <si>
    <t>VANE</t>
  </si>
  <si>
    <t>TIRE</t>
  </si>
  <si>
    <t>COK : Costo de Oportunidad del Capital (tasa de descuento para calcular el VANE)</t>
  </si>
  <si>
    <t>VANE : Valor Actual Neto Economico</t>
  </si>
  <si>
    <t>TIRE : Tasa Interna de Retorno Economico</t>
  </si>
  <si>
    <t xml:space="preserve">VANE: Para que el proyecto sea aceptable su resultado del VANE debe ser mayor a cero </t>
  </si>
  <si>
    <t>TIR: Es la tasa de descuento que hace que el VPN sea igual a cero. Debe ser mayor que el COK.</t>
  </si>
  <si>
    <t>Tasa de Prestamo Bancario  =</t>
  </si>
  <si>
    <t>Comision                       =</t>
  </si>
  <si>
    <t>FRC</t>
  </si>
  <si>
    <t>CRONOGRAMA DE PAGOS</t>
  </si>
  <si>
    <t>Monto a financiar (o préstamo)</t>
  </si>
  <si>
    <t>Tasa de interés mensual</t>
  </si>
  <si>
    <t>Periodo de financiamiento</t>
  </si>
  <si>
    <t>meses</t>
  </si>
  <si>
    <t>Periodo de gracia</t>
  </si>
  <si>
    <t>Cuota Fija</t>
  </si>
  <si>
    <t>Amort</t>
  </si>
  <si>
    <t>Interes</t>
  </si>
  <si>
    <t>Cuota</t>
  </si>
  <si>
    <t>Comision</t>
  </si>
  <si>
    <t>Portes</t>
  </si>
  <si>
    <t>Total Pago</t>
  </si>
  <si>
    <t>Saldo</t>
  </si>
  <si>
    <t>Fn</t>
  </si>
  <si>
    <t>Comision y Portes</t>
  </si>
  <si>
    <t>CEM  =</t>
  </si>
  <si>
    <t>CEA  =</t>
  </si>
  <si>
    <t>CEM : El Costo Efectivo Mensual realmente.</t>
  </si>
  <si>
    <t>CEA : El Costo Efectivo Anual realmente.</t>
  </si>
  <si>
    <t>PLAN FINANCIERO DEL PLAN DE NEGOCIO</t>
  </si>
  <si>
    <t>Mes 0</t>
  </si>
  <si>
    <t>Mes 1</t>
  </si>
  <si>
    <t xml:space="preserve">Mes 2 </t>
  </si>
  <si>
    <t>Mes 3</t>
  </si>
  <si>
    <t>Mes 4</t>
  </si>
  <si>
    <t>Mes 5</t>
  </si>
  <si>
    <t>Mes 6</t>
  </si>
  <si>
    <t>Mes 7</t>
  </si>
  <si>
    <t>Mes 8</t>
  </si>
  <si>
    <t>Mes 9</t>
  </si>
  <si>
    <t>Mes 10</t>
  </si>
  <si>
    <t>Mes 11</t>
  </si>
  <si>
    <t>Mes 12</t>
  </si>
  <si>
    <t>Mes 13</t>
  </si>
  <si>
    <t>Mes 14</t>
  </si>
  <si>
    <t>Mes 15</t>
  </si>
  <si>
    <t>Mes 16</t>
  </si>
  <si>
    <t>Mes 17</t>
  </si>
  <si>
    <t>Mes 18</t>
  </si>
  <si>
    <t>Mes 19</t>
  </si>
  <si>
    <t>Mes 20</t>
  </si>
  <si>
    <t>Mes 21</t>
  </si>
  <si>
    <t>Mes 22</t>
  </si>
  <si>
    <t>Mes 23</t>
  </si>
  <si>
    <t>Mes 24</t>
  </si>
  <si>
    <t>Mes 25</t>
  </si>
  <si>
    <t>Mes 26</t>
  </si>
  <si>
    <t>Mes 27</t>
  </si>
  <si>
    <t>Mes 28</t>
  </si>
  <si>
    <t>Mes 29</t>
  </si>
  <si>
    <t>Mes 30</t>
  </si>
  <si>
    <t>Mes 31</t>
  </si>
  <si>
    <t>Mes 32</t>
  </si>
  <si>
    <t>Mes 33</t>
  </si>
  <si>
    <t>Mes 34</t>
  </si>
  <si>
    <t>Mes 35</t>
  </si>
  <si>
    <t>Mes 36</t>
  </si>
  <si>
    <t>Préstamo</t>
  </si>
  <si>
    <t>Saldo de deuda</t>
  </si>
  <si>
    <t>Interés</t>
  </si>
  <si>
    <t>Gastos (comision y portes)</t>
  </si>
  <si>
    <t>Escudo Fiscal</t>
  </si>
  <si>
    <t>Flujo de Financiamiento Neto</t>
  </si>
  <si>
    <t>FLUJO DE CAJA FINANCIERO DEL PROYECTO</t>
  </si>
  <si>
    <t>LIQUIDACION</t>
  </si>
  <si>
    <t>Valor de</t>
  </si>
  <si>
    <t>Rescate</t>
  </si>
  <si>
    <t>RECUPERACION DE CAPITAL DE TRABAJO</t>
  </si>
  <si>
    <t>COSTOS Y GASTOS TOTALES</t>
  </si>
  <si>
    <t>FLUJO DE FINANCIAMIENTO NETO</t>
  </si>
  <si>
    <t xml:space="preserve"> + PRÉSTAMOS</t>
  </si>
  <si>
    <t xml:space="preserve"> - AMORTIZACIÓN</t>
  </si>
  <si>
    <t xml:space="preserve"> - INTERESES</t>
  </si>
  <si>
    <t xml:space="preserve"> - GASTOS</t>
  </si>
  <si>
    <t xml:space="preserve"> + ESCUDO FISCAL</t>
  </si>
  <si>
    <t>FLUJO DE CAJA FINANCIERO</t>
  </si>
  <si>
    <t>WACC ANUAL (%)</t>
  </si>
  <si>
    <t>WACC MENSUAL (%)</t>
  </si>
  <si>
    <t>VANF</t>
  </si>
  <si>
    <t>TIRF</t>
  </si>
  <si>
    <t>WACC = CPPC  = Costo Promedio Ponderado del Capital</t>
  </si>
  <si>
    <t>VANF = VALOR ACTUAL NETO FINANCIERO</t>
  </si>
  <si>
    <t>TIRF  =  TASA INTERNA DE RETORNO FINANCIERO</t>
  </si>
  <si>
    <t xml:space="preserve">VANF: Para que el proyecto sea aceptable su resultado del VANF debe ser mayor a cero </t>
  </si>
  <si>
    <t>TIRF: Es la tasa de descuento que hace que el VANF sea igual a cero. Debe ser mayor que el WACC.</t>
  </si>
  <si>
    <t>IMPUESTO A LA RENTA (@28%)</t>
  </si>
  <si>
    <t>PUNTO DE EQUILIBRIO</t>
  </si>
  <si>
    <t>PRODUCTO</t>
  </si>
  <si>
    <t>CF</t>
  </si>
  <si>
    <t>MC</t>
  </si>
  <si>
    <t>PE UNIT</t>
  </si>
  <si>
    <t>PE SOLES</t>
  </si>
  <si>
    <t>Q</t>
  </si>
  <si>
    <t>CV</t>
  </si>
  <si>
    <t>CT</t>
  </si>
  <si>
    <t>Laptops</t>
  </si>
  <si>
    <t>Gasto de ventas</t>
  </si>
  <si>
    <t>ml</t>
  </si>
  <si>
    <t>Empaque</t>
  </si>
  <si>
    <t>Crema limpiadora</t>
  </si>
  <si>
    <t>%de demanda x producto</t>
  </si>
  <si>
    <r>
      <rPr>
        <b/>
        <sz val="10"/>
        <rFont val="Arial"/>
        <family val="2"/>
      </rPr>
      <t>Nota:</t>
    </r>
    <r>
      <rPr>
        <sz val="10"/>
        <rFont val="Arial"/>
        <family val="2"/>
      </rPr>
      <t xml:space="preserve"> Se considera que el 20% de la Inversion inicial, lo asumirà el Inversionista y el otro 80% restante,</t>
    </r>
  </si>
  <si>
    <t>sensibilidad</t>
  </si>
  <si>
    <t>Precio</t>
  </si>
  <si>
    <t>Pago</t>
  </si>
  <si>
    <t>Costo</t>
  </si>
  <si>
    <t>50 ml</t>
  </si>
  <si>
    <t xml:space="preserve">Alquiler </t>
  </si>
  <si>
    <t>Distrito</t>
  </si>
  <si>
    <t>A</t>
  </si>
  <si>
    <t>B</t>
  </si>
  <si>
    <t>C</t>
  </si>
  <si>
    <t>D</t>
  </si>
  <si>
    <t>E</t>
  </si>
  <si>
    <t>NSE</t>
  </si>
  <si>
    <t>Poblacion</t>
  </si>
  <si>
    <t>Observaciones</t>
  </si>
  <si>
    <t>Tasa crecimiento de mercado</t>
  </si>
  <si>
    <t xml:space="preserve">Poblacion </t>
  </si>
  <si>
    <t>Participación de Mercado</t>
  </si>
  <si>
    <t>% market share</t>
  </si>
  <si>
    <t>Mercado total (INEI)</t>
  </si>
  <si>
    <t>Personas</t>
  </si>
  <si>
    <t>Frecuencia de consumo (encuesta: e)</t>
  </si>
  <si>
    <t>Compras al año</t>
  </si>
  <si>
    <t>Ventas (N Soles/año)</t>
  </si>
  <si>
    <t>Poblacion (18-25)</t>
  </si>
  <si>
    <t>Estimación de trabajos</t>
  </si>
  <si>
    <t>Estudiantes del sector privado (Primaria y Secundaria)</t>
  </si>
  <si>
    <t>INEI</t>
  </si>
  <si>
    <t>FB</t>
  </si>
  <si>
    <t>NSE(A,B,C)</t>
  </si>
  <si>
    <t>Mercado objetivo</t>
  </si>
  <si>
    <t>Comisión obtenida</t>
  </si>
  <si>
    <t>Comisión</t>
  </si>
  <si>
    <t>Ejercicios Matemáticas Primaria</t>
  </si>
  <si>
    <t>Ejercicios Lenguaje Primaria</t>
  </si>
  <si>
    <t>Ejercicios otras ciencias Primaria</t>
  </si>
  <si>
    <t>PV Unitario Promedio</t>
  </si>
  <si>
    <t>Ventas (Servicio/año)</t>
  </si>
  <si>
    <t>Ventas (Servicio/mes)</t>
  </si>
  <si>
    <t>Servicio</t>
  </si>
  <si>
    <t>Producto1</t>
  </si>
  <si>
    <t>Producto2</t>
  </si>
  <si>
    <t>Producto3</t>
  </si>
  <si>
    <t>POR EDITAR</t>
  </si>
  <si>
    <t>Cant. promedio de llamadas al servicio por trabajo (desde publicación hasta calificación del trabajo)</t>
  </si>
  <si>
    <t>Unidades</t>
  </si>
  <si>
    <t>Hosting web</t>
  </si>
  <si>
    <t>Dominio</t>
  </si>
  <si>
    <t>etc</t>
  </si>
  <si>
    <t>1 Proceso de Denuncia o solicitud de reembolso</t>
  </si>
  <si>
    <t>1 Proceso</t>
  </si>
  <si>
    <t>Publicación y Desarrollo de Trabajo completo</t>
  </si>
  <si>
    <t>Denuncias o solicitudes de reembolso</t>
  </si>
  <si>
    <t>Ventas de examenes resueltos</t>
  </si>
  <si>
    <t>Detalle de Costos Variables por Mes</t>
  </si>
  <si>
    <t>Uso de la instancia file system(Amazon Elastic Filesystem)</t>
  </si>
  <si>
    <t>1 (10GB)</t>
  </si>
  <si>
    <t>Meses</t>
  </si>
  <si>
    <t>2 (20GB)</t>
  </si>
  <si>
    <t>3 (40GB)</t>
  </si>
  <si>
    <t>4 (70GB)</t>
  </si>
  <si>
    <t>5 (100GB)</t>
  </si>
  <si>
    <t>6 (200GB)</t>
  </si>
  <si>
    <t>7 (250GB)</t>
  </si>
  <si>
    <t>8 (300GB)</t>
  </si>
  <si>
    <t>9 (350GB)</t>
  </si>
  <si>
    <t>10 (400GB)</t>
  </si>
  <si>
    <t>11 (450GB)</t>
  </si>
  <si>
    <t>12 (500GB)</t>
  </si>
  <si>
    <t>En Dólares $</t>
  </si>
  <si>
    <t>Costo por Hora de Amazon EC2 4cpus + 8gb de ram</t>
  </si>
  <si>
    <t>Costo por Hora de Amazon EC2 8cpus + 16gb de ram</t>
  </si>
  <si>
    <t>Uso de la instancia servidor de aplicaciones + 
base de datos (Amazon EC2) En horas por mes</t>
  </si>
  <si>
    <t>Propuesta1</t>
  </si>
  <si>
    <t>Propuesta2</t>
  </si>
  <si>
    <t>Uso de la instancia servidor de aplicaciones + 
base de datos (Amazon EC2) En Costo por Mes Propuesta 1</t>
  </si>
  <si>
    <t>Uso de la instancia servidor de aplicaciones + 
base de datos (Amazon EC2) En Costo por Mes Propuesta 2</t>
  </si>
  <si>
    <t>Publicidad en Facebook(Presupuesto Total Mensual)</t>
  </si>
  <si>
    <t>Publicidad en Google(Presupuesto Total Mensual)</t>
  </si>
  <si>
    <t>En Dólares</t>
  </si>
  <si>
    <t>Servicio de Notificaciones Push (pushy)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</si>
</sst>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1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_ * #,##0.00_ ;_ * \-#,##0.00_ ;_ * &quot;-&quot;??_ ;_ @_ "/>
    <numFmt numFmtId="166" formatCode="_(* #,##0.00_);_(* \(#,##0.00\);_(* &quot;-&quot;??_);_(@_)"/>
    <numFmt numFmtId="167" formatCode="_ * #,##0_ ;_ * \-#,##0_ ;_ * &quot;-&quot;??_ ;_ @_ "/>
    <numFmt numFmtId="168" formatCode="0.0%"/>
    <numFmt numFmtId="169" formatCode="#,##0.00_ ;[Red]\-#,##0.00\ "/>
    <numFmt numFmtId="170" formatCode="0.0000000"/>
    <numFmt numFmtId="171" formatCode="#,##0.00000000"/>
    <numFmt numFmtId="172" formatCode="#,##0.000000000"/>
    <numFmt numFmtId="173" formatCode="0.000000%"/>
    <numFmt numFmtId="174" formatCode="&quot;S/.&quot;\ #,##0.00"/>
    <numFmt numFmtId="175" formatCode="#,##0.00\ _€"/>
    <numFmt numFmtId="176" formatCode="#,##0.000000000000"/>
    <numFmt numFmtId="177" formatCode="_(&quot;$&quot;* #,##0.00_);_(&quot;$&quot;* \(#,##0.00\);_(&quot;$&quot;* &quot;-&quot;??_);_(@_)"/>
    <numFmt numFmtId="178" formatCode="0.000%"/>
    <numFmt numFmtId="179" formatCode="0.0"/>
    <numFmt numFmtId="180" formatCode="0.000"/>
    <numFmt numFmtId="181" formatCode="_-[$S/-280A]* #,##0.00000000_-;\-[$S/-280A]* #,##0.00000000_-;_-[$S/-280A]* &quot;-&quot;??_-;_-@_-"/>
    <numFmt numFmtId="182" formatCode="#,##0.000000"/>
    <numFmt numFmtId="183" formatCode="_-[$S/-280A]* #,##0.00_-;\-[$S/-280A]* #,##0.00_-;_-[$S/-280A]* &quot;-&quot;??_-;_-@_-"/>
  </numFmts>
  <fonts count="7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b/>
      <sz val="11"/>
      <name val="Arial"/>
      <family val="2"/>
    </font>
    <font>
      <b/>
      <sz val="18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b/>
      <sz val="11"/>
      <color indexed="9"/>
      <name val="Arial"/>
      <family val="2"/>
    </font>
    <font>
      <b/>
      <sz val="14"/>
      <name val="Arial"/>
      <family val="2"/>
    </font>
    <font>
      <b/>
      <sz val="14"/>
      <color indexed="9"/>
      <name val="Arial"/>
      <family val="2"/>
    </font>
    <font>
      <sz val="18"/>
      <name val="Arial"/>
      <family val="2"/>
    </font>
    <font>
      <b/>
      <sz val="11"/>
      <color theme="0"/>
      <name val="Arial"/>
      <family val="2"/>
    </font>
    <font>
      <b/>
      <sz val="10"/>
      <color theme="0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b/>
      <sz val="16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10"/>
      <name val="Arial"/>
      <family val="2"/>
    </font>
    <font>
      <sz val="9"/>
      <name val="Arial"/>
      <family val="2"/>
    </font>
    <font>
      <sz val="9"/>
      <color indexed="23"/>
      <name val="Arial"/>
      <family val="2"/>
    </font>
    <font>
      <sz val="10"/>
      <color indexed="23"/>
      <name val="Arial"/>
      <family val="2"/>
    </font>
    <font>
      <sz val="9"/>
      <color indexed="10"/>
      <name val="Arial"/>
      <family val="2"/>
    </font>
    <font>
      <sz val="10"/>
      <color theme="0"/>
      <name val="Arial"/>
      <family val="2"/>
    </font>
    <font>
      <sz val="11"/>
      <name val="Arial"/>
      <family val="2"/>
    </font>
    <font>
      <sz val="48"/>
      <color indexed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5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name val="Calibri"/>
      <family val="2"/>
      <scheme val="minor"/>
    </font>
    <font>
      <sz val="10"/>
      <name val="Calibri"/>
      <family val="2"/>
      <scheme val="minor"/>
    </font>
    <font>
      <b/>
      <sz val="18"/>
      <color rgb="FFFF0000"/>
      <name val="Arial"/>
      <family val="2"/>
    </font>
    <font>
      <b/>
      <sz val="13"/>
      <name val="Calibri"/>
      <family val="2"/>
      <scheme val="minor"/>
    </font>
    <font>
      <b/>
      <sz val="10"/>
      <color theme="3"/>
      <name val="Arial"/>
      <family val="2"/>
    </font>
    <font>
      <b/>
      <sz val="12"/>
      <color theme="3"/>
      <name val="Arial"/>
      <family val="2"/>
    </font>
    <font>
      <b/>
      <sz val="12"/>
      <color rgb="FFFF0000"/>
      <name val="Arial"/>
      <family val="2"/>
    </font>
    <font>
      <sz val="10"/>
      <color theme="3"/>
      <name val="Arial"/>
      <family val="2"/>
    </font>
    <font>
      <b/>
      <sz val="11"/>
      <color indexed="10"/>
      <name val="Arial"/>
      <family val="2"/>
    </font>
    <font>
      <b/>
      <sz val="11"/>
      <color theme="3"/>
      <name val="Arial"/>
      <family val="2"/>
    </font>
    <font>
      <b/>
      <sz val="13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10"/>
      <name val="Arial"/>
      <family val="2"/>
    </font>
    <font>
      <b/>
      <sz val="9"/>
      <color indexed="23"/>
      <name val="Arial"/>
      <family val="2"/>
    </font>
    <font>
      <b/>
      <sz val="9"/>
      <name val="Arial"/>
      <family val="2"/>
    </font>
    <font>
      <b/>
      <sz val="12"/>
      <name val="Calibri"/>
      <family val="2"/>
      <scheme val="minor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  <font>
      <b/>
      <sz val="13"/>
      <color indexed="10"/>
      <name val="Arial"/>
      <family val="2"/>
    </font>
    <font>
      <b/>
      <sz val="13"/>
      <color theme="3"/>
      <name val="Arial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rgb="FF000000"/>
      <name val="Calibri"/>
      <family val="2"/>
      <scheme val="minor"/>
    </font>
    <font>
      <b/>
      <u/>
      <sz val="1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24"/>
      </patternFill>
    </fill>
    <fill>
      <patternFill patternType="solid">
        <fgColor rgb="FFF7FAD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-0.249977111117893"/>
        <bgColor indexed="2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8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 style="medium">
        <color theme="1" tint="0.499984740745262"/>
      </top>
      <bottom style="medium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/>
      <bottom/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 style="medium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/>
      <diagonal/>
    </border>
    <border>
      <left style="medium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theme="1" tint="0.499984740745262"/>
      </left>
      <right style="medium">
        <color theme="1" tint="0.499984740745262"/>
      </right>
      <top style="thin">
        <color theme="1" tint="0.499984740745262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medium">
        <color theme="1" tint="0.499984740745262"/>
      </bottom>
      <diagonal/>
    </border>
    <border>
      <left style="thin">
        <color theme="1" tint="0.499984740745262"/>
      </left>
      <right style="medium">
        <color theme="1" tint="0.499984740745262"/>
      </right>
      <top/>
      <bottom style="medium">
        <color theme="1" tint="0.499984740745262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165" fontId="32" fillId="0" borderId="0" applyFont="0" applyFill="0" applyBorder="0" applyAlignment="0" applyProtection="0"/>
    <xf numFmtId="9" fontId="32" fillId="0" borderId="0" applyFont="0" applyFill="0" applyBorder="0" applyAlignment="0" applyProtection="0"/>
    <xf numFmtId="43" fontId="32" fillId="0" borderId="0" applyFont="0" applyFill="0" applyBorder="0" applyAlignment="0" applyProtection="0"/>
    <xf numFmtId="0" fontId="2" fillId="0" borderId="0"/>
    <xf numFmtId="164" fontId="32" fillId="0" borderId="0" applyFont="0" applyFill="0" applyBorder="0" applyAlignment="0" applyProtection="0"/>
  </cellStyleXfs>
  <cellXfs count="680">
    <xf numFmtId="0" fontId="0" fillId="0" borderId="0" xfId="0"/>
    <xf numFmtId="4" fontId="0" fillId="2" borderId="1" xfId="0" applyNumberFormat="1" applyFill="1" applyBorder="1"/>
    <xf numFmtId="0" fontId="4" fillId="0" borderId="0" xfId="1"/>
    <xf numFmtId="4" fontId="7" fillId="0" borderId="5" xfId="1" applyNumberFormat="1" applyFont="1" applyBorder="1"/>
    <xf numFmtId="4" fontId="8" fillId="4" borderId="9" xfId="1" applyNumberFormat="1" applyFont="1" applyFill="1" applyBorder="1"/>
    <xf numFmtId="4" fontId="8" fillId="4" borderId="10" xfId="1" applyNumberFormat="1" applyFont="1" applyFill="1" applyBorder="1"/>
    <xf numFmtId="0" fontId="12" fillId="0" borderId="0" xfId="1" applyFont="1"/>
    <xf numFmtId="0" fontId="6" fillId="0" borderId="0" xfId="1" applyFont="1"/>
    <xf numFmtId="0" fontId="3" fillId="0" borderId="0" xfId="1" applyFont="1"/>
    <xf numFmtId="4" fontId="3" fillId="2" borderId="9" xfId="2" applyNumberFormat="1" applyFont="1" applyFill="1" applyBorder="1"/>
    <xf numFmtId="4" fontId="4" fillId="2" borderId="9" xfId="2" applyNumberFormat="1" applyFont="1" applyFill="1" applyBorder="1"/>
    <xf numFmtId="0" fontId="3" fillId="2" borderId="23" xfId="1" applyFont="1" applyFill="1" applyBorder="1" applyAlignment="1">
      <alignment horizontal="center"/>
    </xf>
    <xf numFmtId="0" fontId="3" fillId="2" borderId="24" xfId="1" applyFont="1" applyFill="1" applyBorder="1" applyAlignment="1">
      <alignment horizontal="center"/>
    </xf>
    <xf numFmtId="0" fontId="3" fillId="2" borderId="25" xfId="1" applyFont="1" applyFill="1" applyBorder="1" applyAlignment="1">
      <alignment horizontal="center"/>
    </xf>
    <xf numFmtId="0" fontId="3" fillId="2" borderId="26" xfId="1" applyFont="1" applyFill="1" applyBorder="1" applyAlignment="1">
      <alignment horizontal="center"/>
    </xf>
    <xf numFmtId="0" fontId="3" fillId="2" borderId="27" xfId="1" applyFont="1" applyFill="1" applyBorder="1" applyAlignment="1">
      <alignment horizontal="center"/>
    </xf>
    <xf numFmtId="0" fontId="3" fillId="2" borderId="28" xfId="1" applyFont="1" applyFill="1" applyBorder="1" applyAlignment="1">
      <alignment horizontal="center"/>
    </xf>
    <xf numFmtId="0" fontId="3" fillId="2" borderId="29" xfId="1" applyFont="1" applyFill="1" applyBorder="1" applyAlignment="1">
      <alignment horizontal="center"/>
    </xf>
    <xf numFmtId="0" fontId="3" fillId="2" borderId="30" xfId="1" applyFont="1" applyFill="1" applyBorder="1" applyAlignment="1">
      <alignment horizontal="center"/>
    </xf>
    <xf numFmtId="0" fontId="4" fillId="2" borderId="19" xfId="1" applyFill="1" applyBorder="1"/>
    <xf numFmtId="0" fontId="3" fillId="2" borderId="31" xfId="1" applyFont="1" applyFill="1" applyBorder="1" applyAlignment="1">
      <alignment horizontal="center"/>
    </xf>
    <xf numFmtId="0" fontId="3" fillId="2" borderId="32" xfId="1" applyFont="1" applyFill="1" applyBorder="1" applyAlignment="1">
      <alignment horizontal="center"/>
    </xf>
    <xf numFmtId="0" fontId="3" fillId="2" borderId="33" xfId="1" applyFont="1" applyFill="1" applyBorder="1" applyAlignment="1">
      <alignment horizontal="center"/>
    </xf>
    <xf numFmtId="0" fontId="4" fillId="0" borderId="0" xfId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/>
    </xf>
    <xf numFmtId="0" fontId="3" fillId="2" borderId="19" xfId="1" applyFont="1" applyFill="1" applyBorder="1" applyAlignment="1">
      <alignment horizontal="center"/>
    </xf>
    <xf numFmtId="0" fontId="17" fillId="0" borderId="0" xfId="1" applyFont="1"/>
    <xf numFmtId="4" fontId="4" fillId="0" borderId="0" xfId="1" applyNumberFormat="1"/>
    <xf numFmtId="0" fontId="4" fillId="0" borderId="23" xfId="1" applyBorder="1"/>
    <xf numFmtId="0" fontId="4" fillId="0" borderId="25" xfId="1" applyBorder="1"/>
    <xf numFmtId="0" fontId="4" fillId="0" borderId="34" xfId="1" applyBorder="1"/>
    <xf numFmtId="0" fontId="4" fillId="0" borderId="4" xfId="1" applyBorder="1"/>
    <xf numFmtId="0" fontId="4" fillId="0" borderId="27" xfId="1" applyBorder="1"/>
    <xf numFmtId="0" fontId="4" fillId="0" borderId="30" xfId="1" applyBorder="1"/>
    <xf numFmtId="0" fontId="20" fillId="0" borderId="0" xfId="1" applyFont="1"/>
    <xf numFmtId="0" fontId="20" fillId="0" borderId="0" xfId="1" applyFont="1" applyAlignment="1">
      <alignment horizontal="center"/>
    </xf>
    <xf numFmtId="0" fontId="20" fillId="0" borderId="0" xfId="1" applyFont="1" applyAlignment="1">
      <alignment horizontal="left"/>
    </xf>
    <xf numFmtId="0" fontId="21" fillId="0" borderId="34" xfId="1" applyFont="1" applyBorder="1" applyAlignment="1">
      <alignment horizontal="right"/>
    </xf>
    <xf numFmtId="0" fontId="21" fillId="0" borderId="30" xfId="1" applyFont="1" applyBorder="1" applyAlignment="1">
      <alignment horizontal="right"/>
    </xf>
    <xf numFmtId="3" fontId="23" fillId="2" borderId="37" xfId="1" applyNumberFormat="1" applyFont="1" applyFill="1" applyBorder="1"/>
    <xf numFmtId="0" fontId="18" fillId="2" borderId="38" xfId="1" applyFont="1" applyFill="1" applyBorder="1" applyAlignment="1">
      <alignment horizontal="left" indent="1"/>
    </xf>
    <xf numFmtId="3" fontId="4" fillId="2" borderId="1" xfId="1" applyNumberFormat="1" applyFill="1" applyBorder="1"/>
    <xf numFmtId="0" fontId="18" fillId="2" borderId="19" xfId="1" applyFont="1" applyFill="1" applyBorder="1" applyAlignment="1">
      <alignment horizontal="left" indent="2"/>
    </xf>
    <xf numFmtId="0" fontId="18" fillId="2" borderId="19" xfId="1" applyFont="1" applyFill="1" applyBorder="1" applyAlignment="1">
      <alignment horizontal="left" indent="1"/>
    </xf>
    <xf numFmtId="0" fontId="4" fillId="2" borderId="19" xfId="1" applyFill="1" applyBorder="1" applyAlignment="1">
      <alignment horizontal="left" indent="1"/>
    </xf>
    <xf numFmtId="0" fontId="4" fillId="0" borderId="26" xfId="1" applyBorder="1"/>
    <xf numFmtId="0" fontId="26" fillId="0" borderId="34" xfId="1" applyFont="1" applyBorder="1"/>
    <xf numFmtId="4" fontId="24" fillId="0" borderId="29" xfId="1" applyNumberFormat="1" applyFont="1" applyBorder="1" applyAlignment="1">
      <alignment horizontal="center"/>
    </xf>
    <xf numFmtId="0" fontId="28" fillId="0" borderId="0" xfId="1" applyFont="1"/>
    <xf numFmtId="0" fontId="27" fillId="0" borderId="0" xfId="1" applyFont="1" applyAlignment="1">
      <alignment horizontal="center"/>
    </xf>
    <xf numFmtId="0" fontId="4" fillId="0" borderId="0" xfId="1" applyAlignment="1">
      <alignment horizontal="right"/>
    </xf>
    <xf numFmtId="0" fontId="29" fillId="0" borderId="0" xfId="1" applyFont="1"/>
    <xf numFmtId="0" fontId="20" fillId="0" borderId="0" xfId="1" applyFont="1" applyAlignment="1">
      <alignment horizontal="left" indent="7"/>
    </xf>
    <xf numFmtId="9" fontId="4" fillId="0" borderId="0" xfId="1" applyNumberFormat="1"/>
    <xf numFmtId="0" fontId="4" fillId="0" borderId="19" xfId="1" applyBorder="1"/>
    <xf numFmtId="0" fontId="4" fillId="0" borderId="33" xfId="1" applyBorder="1"/>
    <xf numFmtId="0" fontId="9" fillId="8" borderId="13" xfId="1" applyFont="1" applyFill="1" applyBorder="1" applyAlignment="1">
      <alignment horizontal="left"/>
    </xf>
    <xf numFmtId="0" fontId="9" fillId="8" borderId="12" xfId="1" applyFont="1" applyFill="1" applyBorder="1" applyAlignment="1">
      <alignment horizontal="center"/>
    </xf>
    <xf numFmtId="0" fontId="9" fillId="8" borderId="12" xfId="1" applyFont="1" applyFill="1" applyBorder="1" applyAlignment="1">
      <alignment horizontal="center" wrapText="1"/>
    </xf>
    <xf numFmtId="0" fontId="9" fillId="8" borderId="5" xfId="1" applyFont="1" applyFill="1" applyBorder="1" applyAlignment="1">
      <alignment horizontal="center"/>
    </xf>
    <xf numFmtId="0" fontId="22" fillId="7" borderId="36" xfId="1" applyFont="1" applyFill="1" applyBorder="1" applyAlignment="1">
      <alignment horizontal="center"/>
    </xf>
    <xf numFmtId="0" fontId="22" fillId="7" borderId="35" xfId="1" applyFont="1" applyFill="1" applyBorder="1" applyAlignment="1">
      <alignment horizontal="center"/>
    </xf>
    <xf numFmtId="0" fontId="31" fillId="9" borderId="40" xfId="1" applyFont="1" applyFill="1" applyBorder="1"/>
    <xf numFmtId="0" fontId="4" fillId="5" borderId="1" xfId="1" applyFill="1" applyBorder="1" applyProtection="1">
      <protection locked="0"/>
    </xf>
    <xf numFmtId="0" fontId="4" fillId="3" borderId="1" xfId="1" applyFill="1" applyBorder="1" applyAlignment="1" applyProtection="1">
      <alignment horizontal="center"/>
      <protection locked="0"/>
    </xf>
    <xf numFmtId="167" fontId="4" fillId="3" borderId="1" xfId="2" applyNumberFormat="1" applyFont="1" applyFill="1" applyBorder="1" applyProtection="1">
      <protection locked="0"/>
    </xf>
    <xf numFmtId="4" fontId="4" fillId="3" borderId="1" xfId="2" applyNumberFormat="1" applyFont="1" applyFill="1" applyBorder="1" applyProtection="1">
      <protection locked="0"/>
    </xf>
    <xf numFmtId="0" fontId="3" fillId="3" borderId="19" xfId="1" applyFont="1" applyFill="1" applyBorder="1" applyProtection="1">
      <protection locked="0"/>
    </xf>
    <xf numFmtId="0" fontId="4" fillId="0" borderId="41" xfId="1" applyBorder="1"/>
    <xf numFmtId="0" fontId="4" fillId="0" borderId="1" xfId="1" applyBorder="1"/>
    <xf numFmtId="170" fontId="4" fillId="0" borderId="0" xfId="1" applyNumberFormat="1"/>
    <xf numFmtId="9" fontId="4" fillId="0" borderId="1" xfId="1" applyNumberFormat="1" applyBorder="1"/>
    <xf numFmtId="4" fontId="4" fillId="0" borderId="1" xfId="1" applyNumberFormat="1" applyBorder="1"/>
    <xf numFmtId="0" fontId="19" fillId="0" borderId="0" xfId="1" applyFont="1" applyAlignment="1">
      <alignment horizontal="left"/>
    </xf>
    <xf numFmtId="0" fontId="0" fillId="11" borderId="0" xfId="0" applyFill="1"/>
    <xf numFmtId="0" fontId="3" fillId="0" borderId="0" xfId="0" applyFont="1"/>
    <xf numFmtId="0" fontId="4" fillId="0" borderId="0" xfId="0" applyFont="1"/>
    <xf numFmtId="3" fontId="31" fillId="9" borderId="39" xfId="1" applyNumberFormat="1" applyFont="1" applyFill="1" applyBorder="1"/>
    <xf numFmtId="4" fontId="22" fillId="7" borderId="36" xfId="1" applyNumberFormat="1" applyFont="1" applyFill="1" applyBorder="1" applyAlignment="1">
      <alignment horizontal="right"/>
    </xf>
    <xf numFmtId="168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/>
    </xf>
    <xf numFmtId="0" fontId="19" fillId="0" borderId="11" xfId="1" applyFont="1" applyBorder="1" applyAlignment="1">
      <alignment vertical="center"/>
    </xf>
    <xf numFmtId="0" fontId="19" fillId="0" borderId="18" xfId="1" applyFont="1" applyBorder="1" applyAlignment="1">
      <alignment vertical="center"/>
    </xf>
    <xf numFmtId="0" fontId="19" fillId="0" borderId="17" xfId="1" applyFont="1" applyBorder="1" applyAlignment="1">
      <alignment vertical="center"/>
    </xf>
    <xf numFmtId="4" fontId="19" fillId="0" borderId="0" xfId="1" applyNumberFormat="1" applyFont="1"/>
    <xf numFmtId="0" fontId="14" fillId="7" borderId="16" xfId="1" applyFont="1" applyFill="1" applyBorder="1"/>
    <xf numFmtId="0" fontId="14" fillId="7" borderId="15" xfId="1" applyFont="1" applyFill="1" applyBorder="1"/>
    <xf numFmtId="0" fontId="14" fillId="7" borderId="14" xfId="1" applyFont="1" applyFill="1" applyBorder="1"/>
    <xf numFmtId="0" fontId="3" fillId="2" borderId="0" xfId="1" applyFont="1" applyFill="1" applyAlignment="1">
      <alignment horizontal="center"/>
    </xf>
    <xf numFmtId="0" fontId="14" fillId="12" borderId="0" xfId="1" applyFont="1" applyFill="1"/>
    <xf numFmtId="0" fontId="3" fillId="12" borderId="0" xfId="1" applyFont="1" applyFill="1" applyAlignment="1">
      <alignment horizontal="center"/>
    </xf>
    <xf numFmtId="0" fontId="4" fillId="12" borderId="0" xfId="1" applyFill="1" applyProtection="1">
      <protection locked="0"/>
    </xf>
    <xf numFmtId="0" fontId="4" fillId="12" borderId="0" xfId="1" applyFill="1"/>
    <xf numFmtId="3" fontId="4" fillId="12" borderId="0" xfId="1" applyNumberFormat="1" applyFill="1"/>
    <xf numFmtId="0" fontId="14" fillId="7" borderId="11" xfId="1" applyFont="1" applyFill="1" applyBorder="1"/>
    <xf numFmtId="0" fontId="14" fillId="7" borderId="18" xfId="1" applyFont="1" applyFill="1" applyBorder="1"/>
    <xf numFmtId="0" fontId="14" fillId="7" borderId="17" xfId="1" applyFont="1" applyFill="1" applyBorder="1"/>
    <xf numFmtId="0" fontId="34" fillId="0" borderId="0" xfId="1" applyFont="1"/>
    <xf numFmtId="0" fontId="3" fillId="2" borderId="34" xfId="1" applyFont="1" applyFill="1" applyBorder="1" applyAlignment="1">
      <alignment horizontal="left"/>
    </xf>
    <xf numFmtId="4" fontId="3" fillId="2" borderId="4" xfId="1" applyNumberFormat="1" applyFont="1" applyFill="1" applyBorder="1" applyAlignment="1">
      <alignment horizontal="center"/>
    </xf>
    <xf numFmtId="174" fontId="0" fillId="0" borderId="1" xfId="0" applyNumberFormat="1" applyBorder="1"/>
    <xf numFmtId="0" fontId="4" fillId="0" borderId="1" xfId="1" applyBorder="1" applyAlignment="1">
      <alignment horizontal="center"/>
    </xf>
    <xf numFmtId="0" fontId="4" fillId="0" borderId="32" xfId="1" applyBorder="1"/>
    <xf numFmtId="0" fontId="4" fillId="0" borderId="31" xfId="1" applyBorder="1"/>
    <xf numFmtId="0" fontId="4" fillId="0" borderId="9" xfId="1" applyBorder="1"/>
    <xf numFmtId="174" fontId="0" fillId="0" borderId="9" xfId="0" applyNumberFormat="1" applyBorder="1"/>
    <xf numFmtId="9" fontId="3" fillId="14" borderId="45" xfId="0" applyNumberFormat="1" applyFont="1" applyFill="1" applyBorder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46" xfId="1" applyFont="1" applyBorder="1" applyAlignment="1">
      <alignment horizontal="center" vertical="center"/>
    </xf>
    <xf numFmtId="175" fontId="3" fillId="13" borderId="12" xfId="0" applyNumberFormat="1" applyFont="1" applyFill="1" applyBorder="1"/>
    <xf numFmtId="0" fontId="4" fillId="13" borderId="12" xfId="0" applyFont="1" applyFill="1" applyBorder="1" applyAlignment="1">
      <alignment horizontal="right"/>
    </xf>
    <xf numFmtId="3" fontId="31" fillId="9" borderId="40" xfId="1" applyNumberFormat="1" applyFont="1" applyFill="1" applyBorder="1"/>
    <xf numFmtId="0" fontId="36" fillId="0" borderId="0" xfId="0" applyFont="1"/>
    <xf numFmtId="0" fontId="0" fillId="2" borderId="50" xfId="0" applyFill="1" applyBorder="1"/>
    <xf numFmtId="167" fontId="36" fillId="0" borderId="51" xfId="4" applyNumberFormat="1" applyFont="1" applyFill="1" applyBorder="1" applyAlignment="1">
      <alignment horizontal="center"/>
    </xf>
    <xf numFmtId="167" fontId="36" fillId="0" borderId="52" xfId="4" applyNumberFormat="1" applyFont="1" applyFill="1" applyBorder="1" applyAlignment="1">
      <alignment horizontal="center"/>
    </xf>
    <xf numFmtId="0" fontId="35" fillId="2" borderId="50" xfId="0" applyFont="1" applyFill="1" applyBorder="1"/>
    <xf numFmtId="167" fontId="37" fillId="0" borderId="51" xfId="4" applyNumberFormat="1" applyFont="1" applyFill="1" applyBorder="1"/>
    <xf numFmtId="167" fontId="38" fillId="0" borderId="52" xfId="4" applyNumberFormat="1" applyFont="1" applyFill="1" applyBorder="1" applyAlignment="1">
      <alignment horizontal="center"/>
    </xf>
    <xf numFmtId="0" fontId="36" fillId="2" borderId="50" xfId="0" applyFont="1" applyFill="1" applyBorder="1"/>
    <xf numFmtId="167" fontId="36" fillId="0" borderId="51" xfId="4" applyNumberFormat="1" applyFont="1" applyFill="1" applyBorder="1"/>
    <xf numFmtId="167" fontId="35" fillId="0" borderId="53" xfId="4" applyNumberFormat="1" applyFont="1" applyFill="1" applyBorder="1"/>
    <xf numFmtId="0" fontId="36" fillId="2" borderId="54" xfId="0" applyFont="1" applyFill="1" applyBorder="1"/>
    <xf numFmtId="167" fontId="35" fillId="0" borderId="55" xfId="4" applyNumberFormat="1" applyFont="1" applyFill="1" applyBorder="1"/>
    <xf numFmtId="167" fontId="35" fillId="0" borderId="52" xfId="4" applyNumberFormat="1" applyFont="1" applyFill="1" applyBorder="1"/>
    <xf numFmtId="0" fontId="0" fillId="2" borderId="56" xfId="0" applyFill="1" applyBorder="1"/>
    <xf numFmtId="167" fontId="36" fillId="0" borderId="52" xfId="4" applyNumberFormat="1" applyFont="1" applyFill="1" applyBorder="1"/>
    <xf numFmtId="167" fontId="36" fillId="0" borderId="55" xfId="4" applyNumberFormat="1" applyFont="1" applyFill="1" applyBorder="1"/>
    <xf numFmtId="167" fontId="36" fillId="0" borderId="57" xfId="4" applyNumberFormat="1" applyFont="1" applyFill="1" applyBorder="1"/>
    <xf numFmtId="0" fontId="39" fillId="2" borderId="50" xfId="0" applyFont="1" applyFill="1" applyBorder="1"/>
    <xf numFmtId="167" fontId="40" fillId="0" borderId="51" xfId="4" applyNumberFormat="1" applyFont="1" applyFill="1" applyBorder="1"/>
    <xf numFmtId="167" fontId="40" fillId="0" borderId="52" xfId="4" applyNumberFormat="1" applyFont="1" applyFill="1" applyBorder="1"/>
    <xf numFmtId="0" fontId="36" fillId="2" borderId="56" xfId="0" applyFont="1" applyFill="1" applyBorder="1"/>
    <xf numFmtId="167" fontId="36" fillId="0" borderId="58" xfId="4" applyNumberFormat="1" applyFont="1" applyFill="1" applyBorder="1"/>
    <xf numFmtId="167" fontId="36" fillId="0" borderId="53" xfId="4" applyNumberFormat="1" applyFont="1" applyFill="1" applyBorder="1"/>
    <xf numFmtId="0" fontId="19" fillId="0" borderId="0" xfId="1" applyFont="1"/>
    <xf numFmtId="175" fontId="4" fillId="0" borderId="0" xfId="1" applyNumberFormat="1"/>
    <xf numFmtId="176" fontId="4" fillId="0" borderId="0" xfId="1" applyNumberFormat="1"/>
    <xf numFmtId="4" fontId="3" fillId="0" borderId="0" xfId="1" applyNumberFormat="1" applyFont="1"/>
    <xf numFmtId="0" fontId="5" fillId="0" borderId="34" xfId="1" applyFont="1" applyBorder="1" applyAlignment="1">
      <alignment horizontal="right"/>
    </xf>
    <xf numFmtId="0" fontId="41" fillId="0" borderId="0" xfId="1" applyFont="1"/>
    <xf numFmtId="168" fontId="5" fillId="0" borderId="0" xfId="3" applyNumberFormat="1" applyFont="1" applyFill="1" applyBorder="1"/>
    <xf numFmtId="3" fontId="5" fillId="0" borderId="0" xfId="1" applyNumberFormat="1" applyFont="1"/>
    <xf numFmtId="10" fontId="5" fillId="0" borderId="0" xfId="0" applyNumberFormat="1" applyFont="1" applyAlignment="1">
      <alignment horizontal="right"/>
    </xf>
    <xf numFmtId="0" fontId="4" fillId="5" borderId="19" xfId="1" applyFill="1" applyBorder="1" applyProtection="1">
      <protection locked="0"/>
    </xf>
    <xf numFmtId="4" fontId="4" fillId="12" borderId="0" xfId="1" applyNumberFormat="1" applyFill="1"/>
    <xf numFmtId="0" fontId="3" fillId="2" borderId="13" xfId="1" applyFont="1" applyFill="1" applyBorder="1" applyAlignment="1">
      <alignment vertical="center"/>
    </xf>
    <xf numFmtId="4" fontId="3" fillId="10" borderId="9" xfId="4" applyNumberFormat="1" applyFont="1" applyFill="1" applyBorder="1" applyAlignment="1">
      <alignment horizontal="right"/>
    </xf>
    <xf numFmtId="0" fontId="2" fillId="0" borderId="0" xfId="7"/>
    <xf numFmtId="0" fontId="0" fillId="0" borderId="30" xfId="0" applyBorder="1"/>
    <xf numFmtId="0" fontId="0" fillId="0" borderId="27" xfId="0" applyBorder="1"/>
    <xf numFmtId="0" fontId="0" fillId="0" borderId="34" xfId="0" applyBorder="1"/>
    <xf numFmtId="0" fontId="0" fillId="0" borderId="4" xfId="0" applyBorder="1"/>
    <xf numFmtId="0" fontId="5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0" fillId="0" borderId="26" xfId="0" applyBorder="1"/>
    <xf numFmtId="0" fontId="0" fillId="0" borderId="25" xfId="0" applyBorder="1"/>
    <xf numFmtId="0" fontId="0" fillId="0" borderId="23" xfId="0" applyBorder="1"/>
    <xf numFmtId="0" fontId="19" fillId="0" borderId="0" xfId="0" applyFont="1"/>
    <xf numFmtId="4" fontId="7" fillId="0" borderId="0" xfId="1" applyNumberFormat="1" applyFont="1"/>
    <xf numFmtId="0" fontId="9" fillId="8" borderId="2" xfId="1" applyFont="1" applyFill="1" applyBorder="1" applyAlignment="1">
      <alignment horizontal="left" vertical="center"/>
    </xf>
    <xf numFmtId="0" fontId="9" fillId="8" borderId="2" xfId="1" applyFont="1" applyFill="1" applyBorder="1" applyAlignment="1">
      <alignment horizontal="center" vertical="center"/>
    </xf>
    <xf numFmtId="0" fontId="9" fillId="8" borderId="2" xfId="1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0" fillId="0" borderId="41" xfId="0" applyBorder="1"/>
    <xf numFmtId="0" fontId="4" fillId="0" borderId="63" xfId="0" applyFont="1" applyBorder="1" applyAlignment="1">
      <alignment horizontal="center" vertical="center" wrapText="1"/>
    </xf>
    <xf numFmtId="0" fontId="0" fillId="0" borderId="44" xfId="0" applyBorder="1"/>
    <xf numFmtId="0" fontId="4" fillId="0" borderId="62" xfId="0" applyFont="1" applyBorder="1" applyAlignment="1">
      <alignment horizontal="center" vertical="center" wrapText="1"/>
    </xf>
    <xf numFmtId="9" fontId="4" fillId="0" borderId="0" xfId="5" applyFont="1"/>
    <xf numFmtId="4" fontId="0" fillId="0" borderId="41" xfId="0" applyNumberFormat="1" applyBorder="1"/>
    <xf numFmtId="4" fontId="4" fillId="0" borderId="41" xfId="0" applyNumberFormat="1" applyFont="1" applyBorder="1" applyAlignment="1">
      <alignment horizontal="right" vertical="center" wrapText="1"/>
    </xf>
    <xf numFmtId="10" fontId="4" fillId="0" borderId="0" xfId="5" applyNumberFormat="1" applyFont="1"/>
    <xf numFmtId="4" fontId="0" fillId="0" borderId="0" xfId="0" applyNumberFormat="1"/>
    <xf numFmtId="4" fontId="4" fillId="0" borderId="1" xfId="0" applyNumberFormat="1" applyFont="1" applyBorder="1" applyAlignment="1">
      <alignment horizontal="right" vertical="center" wrapText="1"/>
    </xf>
    <xf numFmtId="3" fontId="4" fillId="0" borderId="0" xfId="1" applyNumberFormat="1"/>
    <xf numFmtId="0" fontId="3" fillId="0" borderId="62" xfId="0" applyFont="1" applyBorder="1"/>
    <xf numFmtId="4" fontId="3" fillId="0" borderId="21" xfId="0" applyNumberFormat="1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9" fillId="8" borderId="11" xfId="1" applyFont="1" applyFill="1" applyBorder="1"/>
    <xf numFmtId="0" fontId="9" fillId="8" borderId="18" xfId="1" applyFont="1" applyFill="1" applyBorder="1"/>
    <xf numFmtId="4" fontId="3" fillId="0" borderId="1" xfId="1" applyNumberFormat="1" applyFont="1" applyBorder="1"/>
    <xf numFmtId="0" fontId="4" fillId="16" borderId="19" xfId="1" applyFill="1" applyBorder="1"/>
    <xf numFmtId="3" fontId="4" fillId="16" borderId="1" xfId="1" applyNumberFormat="1" applyFill="1" applyBorder="1"/>
    <xf numFmtId="0" fontId="3" fillId="16" borderId="19" xfId="1" applyFont="1" applyFill="1" applyBorder="1" applyAlignment="1">
      <alignment horizontal="center"/>
    </xf>
    <xf numFmtId="3" fontId="3" fillId="16" borderId="1" xfId="1" applyNumberFormat="1" applyFont="1" applyFill="1" applyBorder="1"/>
    <xf numFmtId="0" fontId="3" fillId="16" borderId="19" xfId="1" applyFont="1" applyFill="1" applyBorder="1"/>
    <xf numFmtId="3" fontId="4" fillId="16" borderId="9" xfId="1" applyNumberFormat="1" applyFill="1" applyBorder="1"/>
    <xf numFmtId="0" fontId="19" fillId="17" borderId="0" xfId="0" applyFont="1" applyFill="1"/>
    <xf numFmtId="0" fontId="19" fillId="18" borderId="33" xfId="0" applyFont="1" applyFill="1" applyBorder="1" applyAlignment="1">
      <alignment horizontal="center" vertical="center"/>
    </xf>
    <xf numFmtId="0" fontId="19" fillId="18" borderId="64" xfId="0" applyFont="1" applyFill="1" applyBorder="1" applyAlignment="1">
      <alignment horizontal="center" vertical="center"/>
    </xf>
    <xf numFmtId="0" fontId="19" fillId="18" borderId="32" xfId="0" applyFont="1" applyFill="1" applyBorder="1" applyAlignment="1">
      <alignment horizontal="center" vertical="center"/>
    </xf>
    <xf numFmtId="0" fontId="19" fillId="18" borderId="31" xfId="0" applyFont="1" applyFill="1" applyBorder="1" applyAlignment="1">
      <alignment horizontal="center" vertical="center" wrapText="1"/>
    </xf>
    <xf numFmtId="0" fontId="4" fillId="11" borderId="40" xfId="0" applyFont="1" applyFill="1" applyBorder="1" applyAlignment="1">
      <alignment horizontal="left"/>
    </xf>
    <xf numFmtId="177" fontId="4" fillId="11" borderId="39" xfId="8" applyNumberFormat="1" applyFont="1" applyFill="1" applyBorder="1" applyAlignment="1">
      <alignment horizontal="center"/>
    </xf>
    <xf numFmtId="0" fontId="3" fillId="11" borderId="65" xfId="0" applyFont="1" applyFill="1" applyBorder="1" applyAlignment="1">
      <alignment horizontal="center"/>
    </xf>
    <xf numFmtId="0" fontId="0" fillId="0" borderId="19" xfId="0" applyBorder="1"/>
    <xf numFmtId="4" fontId="0" fillId="0" borderId="1" xfId="8" applyNumberFormat="1" applyFont="1" applyBorder="1"/>
    <xf numFmtId="0" fontId="19" fillId="19" borderId="8" xfId="0" applyFont="1" applyFill="1" applyBorder="1" applyAlignment="1">
      <alignment vertical="center"/>
    </xf>
    <xf numFmtId="4" fontId="19" fillId="19" borderId="5" xfId="8" applyNumberFormat="1" applyFont="1" applyFill="1" applyBorder="1" applyAlignment="1">
      <alignment vertical="center"/>
    </xf>
    <xf numFmtId="0" fontId="23" fillId="0" borderId="0" xfId="0" applyFont="1" applyAlignment="1">
      <alignment horizontal="center"/>
    </xf>
    <xf numFmtId="0" fontId="23" fillId="0" borderId="0" xfId="0" applyFont="1"/>
    <xf numFmtId="4" fontId="23" fillId="0" borderId="0" xfId="0" applyNumberFormat="1" applyFont="1"/>
    <xf numFmtId="4" fontId="33" fillId="0" borderId="0" xfId="0" applyNumberFormat="1" applyFont="1"/>
    <xf numFmtId="0" fontId="33" fillId="0" borderId="0" xfId="0" applyFont="1"/>
    <xf numFmtId="171" fontId="23" fillId="0" borderId="0" xfId="0" applyNumberFormat="1" applyFont="1"/>
    <xf numFmtId="172" fontId="23" fillId="0" borderId="0" xfId="0" applyNumberFormat="1" applyFont="1"/>
    <xf numFmtId="173" fontId="33" fillId="0" borderId="0" xfId="0" applyNumberFormat="1" applyFont="1" applyAlignment="1">
      <alignment horizontal="center"/>
    </xf>
    <xf numFmtId="0" fontId="44" fillId="0" borderId="0" xfId="0" applyFont="1"/>
    <xf numFmtId="0" fontId="36" fillId="16" borderId="59" xfId="0" applyFont="1" applyFill="1" applyBorder="1" applyAlignment="1">
      <alignment vertical="center"/>
    </xf>
    <xf numFmtId="167" fontId="36" fillId="16" borderId="60" xfId="4" applyNumberFormat="1" applyFont="1" applyFill="1" applyBorder="1" applyAlignment="1">
      <alignment vertical="center"/>
    </xf>
    <xf numFmtId="167" fontId="36" fillId="16" borderId="61" xfId="4" applyNumberFormat="1" applyFont="1" applyFill="1" applyBorder="1" applyAlignment="1">
      <alignment vertical="center"/>
    </xf>
    <xf numFmtId="0" fontId="35" fillId="10" borderId="48" xfId="0" applyFont="1" applyFill="1" applyBorder="1" applyAlignment="1">
      <alignment horizontal="center" vertical="center"/>
    </xf>
    <xf numFmtId="0" fontId="29" fillId="10" borderId="47" xfId="0" applyFont="1" applyFill="1" applyBorder="1" applyAlignment="1">
      <alignment horizontal="center"/>
    </xf>
    <xf numFmtId="0" fontId="35" fillId="10" borderId="49" xfId="0" applyFont="1" applyFill="1" applyBorder="1" applyAlignment="1">
      <alignment horizontal="center" vertical="center" wrapText="1"/>
    </xf>
    <xf numFmtId="0" fontId="3" fillId="14" borderId="1" xfId="0" applyFont="1" applyFill="1" applyBorder="1" applyAlignment="1">
      <alignment vertical="center" wrapText="1"/>
    </xf>
    <xf numFmtId="0" fontId="3" fillId="14" borderId="1" xfId="0" applyFont="1" applyFill="1" applyBorder="1" applyAlignment="1">
      <alignment horizontal="left" vertical="center" wrapText="1"/>
    </xf>
    <xf numFmtId="0" fontId="45" fillId="0" borderId="0" xfId="1" applyFont="1"/>
    <xf numFmtId="0" fontId="43" fillId="0" borderId="0" xfId="0" applyFont="1"/>
    <xf numFmtId="9" fontId="46" fillId="0" borderId="0" xfId="0" applyNumberFormat="1" applyFont="1"/>
    <xf numFmtId="0" fontId="0" fillId="0" borderId="0" xfId="0" applyAlignment="1">
      <alignment vertical="center"/>
    </xf>
    <xf numFmtId="0" fontId="33" fillId="0" borderId="0" xfId="0" applyFont="1" applyAlignment="1">
      <alignment vertical="center"/>
    </xf>
    <xf numFmtId="9" fontId="43" fillId="0" borderId="0" xfId="0" applyNumberFormat="1" applyFont="1" applyAlignment="1">
      <alignment horizontal="left"/>
    </xf>
    <xf numFmtId="168" fontId="44" fillId="0" borderId="0" xfId="0" applyNumberFormat="1" applyFont="1" applyAlignment="1">
      <alignment horizontal="left" vertical="center"/>
    </xf>
    <xf numFmtId="0" fontId="48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4" fontId="24" fillId="0" borderId="0" xfId="1" applyNumberFormat="1" applyFont="1" applyAlignment="1">
      <alignment horizontal="center"/>
    </xf>
    <xf numFmtId="4" fontId="27" fillId="0" borderId="0" xfId="1" applyNumberFormat="1" applyFont="1" applyAlignment="1">
      <alignment horizontal="center"/>
    </xf>
    <xf numFmtId="4" fontId="25" fillId="0" borderId="0" xfId="1" applyNumberFormat="1" applyFont="1" applyAlignment="1">
      <alignment horizontal="center"/>
    </xf>
    <xf numFmtId="0" fontId="19" fillId="17" borderId="0" xfId="0" applyFont="1" applyFill="1" applyAlignment="1">
      <alignment vertical="center"/>
    </xf>
    <xf numFmtId="0" fontId="4" fillId="0" borderId="0" xfId="1" applyAlignment="1">
      <alignment vertical="center"/>
    </xf>
    <xf numFmtId="0" fontId="19" fillId="0" borderId="0" xfId="1" applyFont="1" applyAlignment="1">
      <alignment vertical="center"/>
    </xf>
    <xf numFmtId="0" fontId="4" fillId="0" borderId="19" xfId="0" applyFont="1" applyBorder="1"/>
    <xf numFmtId="0" fontId="19" fillId="18" borderId="64" xfId="0" applyFont="1" applyFill="1" applyBorder="1" applyAlignment="1">
      <alignment horizontal="center" vertical="center" wrapText="1"/>
    </xf>
    <xf numFmtId="4" fontId="3" fillId="11" borderId="44" xfId="0" applyNumberFormat="1" applyFont="1" applyFill="1" applyBorder="1" applyAlignment="1">
      <alignment horizontal="center"/>
    </xf>
    <xf numFmtId="4" fontId="19" fillId="19" borderId="12" xfId="0" applyNumberFormat="1" applyFont="1" applyFill="1" applyBorder="1" applyAlignment="1">
      <alignment vertical="center"/>
    </xf>
    <xf numFmtId="4" fontId="3" fillId="0" borderId="1" xfId="8" applyNumberFormat="1" applyFont="1" applyBorder="1"/>
    <xf numFmtId="9" fontId="0" fillId="0" borderId="1" xfId="5" applyFont="1" applyBorder="1"/>
    <xf numFmtId="9" fontId="0" fillId="0" borderId="41" xfId="5" applyFont="1" applyBorder="1"/>
    <xf numFmtId="0" fontId="19" fillId="18" borderId="14" xfId="0" applyFont="1" applyFill="1" applyBorder="1" applyAlignment="1">
      <alignment horizontal="center" vertical="center" wrapText="1"/>
    </xf>
    <xf numFmtId="9" fontId="0" fillId="11" borderId="9" xfId="5" applyFont="1" applyFill="1" applyBorder="1"/>
    <xf numFmtId="4" fontId="0" fillId="11" borderId="9" xfId="0" applyNumberFormat="1" applyFill="1" applyBorder="1"/>
    <xf numFmtId="2" fontId="4" fillId="0" borderId="0" xfId="1" applyNumberFormat="1"/>
    <xf numFmtId="0" fontId="0" fillId="0" borderId="33" xfId="0" applyBorder="1"/>
    <xf numFmtId="0" fontId="0" fillId="0" borderId="64" xfId="0" applyBorder="1"/>
    <xf numFmtId="4" fontId="0" fillId="0" borderId="32" xfId="8" applyNumberFormat="1" applyFont="1" applyBorder="1"/>
    <xf numFmtId="4" fontId="0" fillId="11" borderId="31" xfId="0" applyNumberFormat="1" applyFill="1" applyBorder="1"/>
    <xf numFmtId="0" fontId="4" fillId="0" borderId="13" xfId="0" applyFont="1" applyBorder="1" applyAlignment="1">
      <alignment vertical="center"/>
    </xf>
    <xf numFmtId="9" fontId="0" fillId="0" borderId="12" xfId="5" applyFont="1" applyBorder="1" applyAlignment="1">
      <alignment vertical="center"/>
    </xf>
    <xf numFmtId="9" fontId="0" fillId="11" borderId="5" xfId="5" applyFont="1" applyFill="1" applyBorder="1" applyAlignment="1">
      <alignment vertical="center"/>
    </xf>
    <xf numFmtId="168" fontId="19" fillId="19" borderId="12" xfId="5" applyNumberFormat="1" applyFont="1" applyFill="1" applyBorder="1" applyAlignment="1">
      <alignment vertical="center"/>
    </xf>
    <xf numFmtId="10" fontId="19" fillId="19" borderId="12" xfId="5" applyNumberFormat="1" applyFont="1" applyFill="1" applyBorder="1" applyAlignment="1">
      <alignment vertical="center"/>
    </xf>
    <xf numFmtId="9" fontId="43" fillId="0" borderId="6" xfId="5" applyFont="1" applyBorder="1" applyAlignment="1">
      <alignment horizontal="center" vertical="center"/>
    </xf>
    <xf numFmtId="0" fontId="22" fillId="7" borderId="11" xfId="1" applyFont="1" applyFill="1" applyBorder="1" applyAlignment="1">
      <alignment horizontal="center"/>
    </xf>
    <xf numFmtId="0" fontId="22" fillId="7" borderId="66" xfId="1" applyFont="1" applyFill="1" applyBorder="1" applyAlignment="1">
      <alignment horizontal="center"/>
    </xf>
    <xf numFmtId="0" fontId="22" fillId="7" borderId="30" xfId="1" applyFont="1" applyFill="1" applyBorder="1" applyAlignment="1">
      <alignment horizontal="center"/>
    </xf>
    <xf numFmtId="3" fontId="0" fillId="0" borderId="1" xfId="0" applyNumberFormat="1" applyBorder="1"/>
    <xf numFmtId="10" fontId="0" fillId="0" borderId="0" xfId="0" applyNumberFormat="1"/>
    <xf numFmtId="3" fontId="0" fillId="0" borderId="0" xfId="0" applyNumberFormat="1"/>
    <xf numFmtId="10" fontId="0" fillId="0" borderId="0" xfId="5" applyNumberFormat="1" applyFont="1"/>
    <xf numFmtId="178" fontId="0" fillId="0" borderId="0" xfId="0" applyNumberFormat="1"/>
    <xf numFmtId="169" fontId="24" fillId="0" borderId="0" xfId="1" applyNumberFormat="1" applyFont="1" applyAlignment="1">
      <alignment horizontal="center" vertical="center"/>
    </xf>
    <xf numFmtId="3" fontId="27" fillId="0" borderId="0" xfId="1" applyNumberFormat="1" applyFont="1" applyAlignment="1">
      <alignment horizontal="center"/>
    </xf>
    <xf numFmtId="3" fontId="25" fillId="0" borderId="0" xfId="1" applyNumberFormat="1" applyFont="1" applyAlignment="1">
      <alignment horizontal="center"/>
    </xf>
    <xf numFmtId="3" fontId="24" fillId="0" borderId="25" xfId="1" applyNumberFormat="1" applyFont="1" applyBorder="1" applyAlignment="1">
      <alignment horizontal="center"/>
    </xf>
    <xf numFmtId="3" fontId="24" fillId="0" borderId="29" xfId="1" applyNumberFormat="1" applyFont="1" applyBorder="1" applyAlignment="1">
      <alignment horizontal="center"/>
    </xf>
    <xf numFmtId="3" fontId="24" fillId="0" borderId="0" xfId="1" applyNumberFormat="1" applyFont="1" applyAlignment="1">
      <alignment horizontal="center"/>
    </xf>
    <xf numFmtId="0" fontId="39" fillId="2" borderId="50" xfId="0" quotePrefix="1" applyFont="1" applyFill="1" applyBorder="1"/>
    <xf numFmtId="0" fontId="4" fillId="0" borderId="0" xfId="0" applyFont="1" applyAlignment="1">
      <alignment horizontal="left"/>
    </xf>
    <xf numFmtId="0" fontId="0" fillId="0" borderId="0" xfId="0" applyAlignment="1">
      <alignment horizontal="center" vertical="center"/>
    </xf>
    <xf numFmtId="0" fontId="29" fillId="0" borderId="0" xfId="0" applyFont="1"/>
    <xf numFmtId="4" fontId="3" fillId="2" borderId="2" xfId="0" applyNumberFormat="1" applyFont="1" applyFill="1" applyBorder="1" applyAlignment="1">
      <alignment vertical="center" wrapText="1"/>
    </xf>
    <xf numFmtId="4" fontId="3" fillId="2" borderId="3" xfId="0" applyNumberFormat="1" applyFont="1" applyFill="1" applyBorder="1" applyAlignment="1">
      <alignment vertical="center" wrapText="1"/>
    </xf>
    <xf numFmtId="168" fontId="4" fillId="0" borderId="0" xfId="5" applyNumberFormat="1" applyFont="1"/>
    <xf numFmtId="0" fontId="0" fillId="0" borderId="43" xfId="0" applyBorder="1"/>
    <xf numFmtId="4" fontId="27" fillId="0" borderId="29" xfId="1" applyNumberFormat="1" applyFont="1" applyBorder="1" applyAlignment="1">
      <alignment horizontal="center"/>
    </xf>
    <xf numFmtId="3" fontId="3" fillId="0" borderId="27" xfId="1" applyNumberFormat="1" applyFont="1" applyBorder="1"/>
    <xf numFmtId="3" fontId="52" fillId="0" borderId="4" xfId="1" applyNumberFormat="1" applyFont="1" applyBorder="1" applyAlignment="1">
      <alignment horizontal="right"/>
    </xf>
    <xf numFmtId="3" fontId="53" fillId="0" borderId="4" xfId="1" applyNumberFormat="1" applyFont="1" applyBorder="1" applyAlignment="1">
      <alignment horizontal="right"/>
    </xf>
    <xf numFmtId="3" fontId="54" fillId="0" borderId="4" xfId="1" applyNumberFormat="1" applyFont="1" applyBorder="1" applyAlignment="1">
      <alignment horizontal="right"/>
    </xf>
    <xf numFmtId="3" fontId="54" fillId="0" borderId="23" xfId="1" applyNumberFormat="1" applyFont="1" applyBorder="1" applyAlignment="1">
      <alignment horizontal="right"/>
    </xf>
    <xf numFmtId="0" fontId="3" fillId="15" borderId="1" xfId="0" applyFont="1" applyFill="1" applyBorder="1" applyAlignment="1">
      <alignment horizontal="center" vertical="center"/>
    </xf>
    <xf numFmtId="0" fontId="5" fillId="15" borderId="1" xfId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/>
    </xf>
    <xf numFmtId="10" fontId="36" fillId="15" borderId="1" xfId="4" applyNumberFormat="1" applyFont="1" applyFill="1" applyBorder="1" applyAlignment="1">
      <alignment vertical="center"/>
    </xf>
    <xf numFmtId="9" fontId="3" fillId="15" borderId="1" xfId="3" applyFont="1" applyFill="1" applyBorder="1" applyAlignment="1">
      <alignment horizontal="center"/>
    </xf>
    <xf numFmtId="10" fontId="36" fillId="15" borderId="1" xfId="5" applyNumberFormat="1" applyFont="1" applyFill="1" applyBorder="1" applyAlignment="1">
      <alignment vertical="center"/>
    </xf>
    <xf numFmtId="4" fontId="4" fillId="3" borderId="0" xfId="3" applyNumberFormat="1" applyFont="1" applyFill="1" applyBorder="1" applyAlignment="1" applyProtection="1">
      <alignment horizontal="right"/>
      <protection locked="0"/>
    </xf>
    <xf numFmtId="168" fontId="4" fillId="3" borderId="0" xfId="3" applyNumberFormat="1" applyFont="1" applyFill="1" applyBorder="1" applyAlignment="1" applyProtection="1">
      <alignment horizontal="right"/>
      <protection locked="0"/>
    </xf>
    <xf numFmtId="0" fontId="4" fillId="3" borderId="0" xfId="3" applyNumberFormat="1" applyFont="1" applyFill="1" applyBorder="1" applyAlignment="1" applyProtection="1">
      <alignment horizontal="right"/>
      <protection locked="0"/>
    </xf>
    <xf numFmtId="4" fontId="27" fillId="0" borderId="0" xfId="1" applyNumberFormat="1" applyFont="1" applyAlignment="1">
      <alignment horizontal="right"/>
    </xf>
    <xf numFmtId="0" fontId="26" fillId="0" borderId="0" xfId="1" applyFont="1"/>
    <xf numFmtId="4" fontId="25" fillId="0" borderId="0" xfId="1" applyNumberFormat="1" applyFont="1" applyAlignment="1">
      <alignment horizontal="right"/>
    </xf>
    <xf numFmtId="4" fontId="24" fillId="0" borderId="0" xfId="1" applyNumberFormat="1" applyFont="1" applyAlignment="1">
      <alignment horizontal="right"/>
    </xf>
    <xf numFmtId="0" fontId="4" fillId="0" borderId="0" xfId="1" applyAlignment="1">
      <alignment wrapText="1"/>
    </xf>
    <xf numFmtId="0" fontId="36" fillId="15" borderId="67" xfId="0" applyFont="1" applyFill="1" applyBorder="1"/>
    <xf numFmtId="167" fontId="36" fillId="15" borderId="68" xfId="4" applyNumberFormat="1" applyFont="1" applyFill="1" applyBorder="1"/>
    <xf numFmtId="167" fontId="36" fillId="15" borderId="69" xfId="4" applyNumberFormat="1" applyFont="1" applyFill="1" applyBorder="1"/>
    <xf numFmtId="167" fontId="55" fillId="15" borderId="53" xfId="4" applyNumberFormat="1" applyFont="1" applyFill="1" applyBorder="1"/>
    <xf numFmtId="0" fontId="55" fillId="2" borderId="50" xfId="0" applyFont="1" applyFill="1" applyBorder="1"/>
    <xf numFmtId="167" fontId="55" fillId="0" borderId="51" xfId="4" applyNumberFormat="1" applyFont="1" applyFill="1" applyBorder="1"/>
    <xf numFmtId="167" fontId="55" fillId="0" borderId="52" xfId="4" applyNumberFormat="1" applyFont="1" applyFill="1" applyBorder="1"/>
    <xf numFmtId="0" fontId="6" fillId="0" borderId="0" xfId="1" applyFont="1" applyAlignment="1">
      <alignment vertical="center"/>
    </xf>
    <xf numFmtId="0" fontId="12" fillId="0" borderId="0" xfId="1" applyFont="1" applyAlignment="1">
      <alignment vertical="center"/>
    </xf>
    <xf numFmtId="0" fontId="42" fillId="15" borderId="56" xfId="0" applyFont="1" applyFill="1" applyBorder="1"/>
    <xf numFmtId="167" fontId="42" fillId="15" borderId="58" xfId="4" applyNumberFormat="1" applyFont="1" applyFill="1" applyBorder="1"/>
    <xf numFmtId="0" fontId="58" fillId="0" borderId="0" xfId="1" applyFont="1"/>
    <xf numFmtId="0" fontId="58" fillId="0" borderId="0" xfId="0" applyFont="1"/>
    <xf numFmtId="0" fontId="59" fillId="0" borderId="0" xfId="1" applyFont="1"/>
    <xf numFmtId="0" fontId="60" fillId="0" borderId="0" xfId="0" applyFont="1"/>
    <xf numFmtId="0" fontId="31" fillId="0" borderId="0" xfId="1" applyFont="1"/>
    <xf numFmtId="0" fontId="43" fillId="0" borderId="0" xfId="1" applyFont="1"/>
    <xf numFmtId="0" fontId="42" fillId="16" borderId="59" xfId="0" applyFont="1" applyFill="1" applyBorder="1" applyAlignment="1">
      <alignment vertical="center"/>
    </xf>
    <xf numFmtId="167" fontId="42" fillId="16" borderId="60" xfId="4" applyNumberFormat="1" applyFont="1" applyFill="1" applyBorder="1" applyAlignment="1">
      <alignment vertical="center"/>
    </xf>
    <xf numFmtId="0" fontId="3" fillId="13" borderId="8" xfId="0" applyFont="1" applyFill="1" applyBorder="1"/>
    <xf numFmtId="4" fontId="5" fillId="0" borderId="0" xfId="1" applyNumberFormat="1" applyFont="1"/>
    <xf numFmtId="0" fontId="5" fillId="16" borderId="13" xfId="1" applyFont="1" applyFill="1" applyBorder="1" applyAlignment="1">
      <alignment vertical="center"/>
    </xf>
    <xf numFmtId="3" fontId="5" fillId="16" borderId="12" xfId="1" applyNumberFormat="1" applyFont="1" applyFill="1" applyBorder="1" applyAlignment="1">
      <alignment vertical="center"/>
    </xf>
    <xf numFmtId="3" fontId="5" fillId="16" borderId="5" xfId="1" applyNumberFormat="1" applyFont="1" applyFill="1" applyBorder="1" applyAlignment="1">
      <alignment vertical="center"/>
    </xf>
    <xf numFmtId="0" fontId="5" fillId="0" borderId="0" xfId="0" applyFont="1"/>
    <xf numFmtId="10" fontId="34" fillId="19" borderId="12" xfId="5" applyNumberFormat="1" applyFont="1" applyFill="1" applyBorder="1" applyAlignment="1">
      <alignment vertical="center"/>
    </xf>
    <xf numFmtId="0" fontId="55" fillId="10" borderId="48" xfId="0" applyFont="1" applyFill="1" applyBorder="1" applyAlignment="1">
      <alignment horizontal="center" vertical="center"/>
    </xf>
    <xf numFmtId="0" fontId="3" fillId="15" borderId="70" xfId="0" applyFont="1" applyFill="1" applyBorder="1" applyAlignment="1">
      <alignment horizontal="left" vertical="center"/>
    </xf>
    <xf numFmtId="0" fontId="5" fillId="0" borderId="11" xfId="1" applyFont="1" applyBorder="1" applyAlignment="1">
      <alignment vertical="center" wrapText="1"/>
    </xf>
    <xf numFmtId="3" fontId="5" fillId="0" borderId="18" xfId="1" applyNumberFormat="1" applyFont="1" applyBorder="1" applyAlignment="1">
      <alignment horizontal="center" vertical="center"/>
    </xf>
    <xf numFmtId="3" fontId="5" fillId="0" borderId="23" xfId="1" applyNumberFormat="1" applyFont="1" applyBorder="1" applyAlignment="1">
      <alignment vertical="center"/>
    </xf>
    <xf numFmtId="0" fontId="61" fillId="0" borderId="0" xfId="0" applyFont="1" applyAlignment="1">
      <alignment vertical="center"/>
    </xf>
    <xf numFmtId="0" fontId="31" fillId="0" borderId="0" xfId="0" applyFont="1" applyAlignment="1">
      <alignment vertical="center"/>
    </xf>
    <xf numFmtId="4" fontId="3" fillId="0" borderId="41" xfId="8" applyNumberFormat="1" applyFont="1" applyBorder="1"/>
    <xf numFmtId="4" fontId="0" fillId="0" borderId="39" xfId="8" applyNumberFormat="1" applyFont="1" applyBorder="1"/>
    <xf numFmtId="4" fontId="4" fillId="19" borderId="1" xfId="8" applyNumberFormat="1" applyFont="1" applyFill="1" applyBorder="1" applyAlignment="1">
      <alignment vertical="center"/>
    </xf>
    <xf numFmtId="168" fontId="5" fillId="12" borderId="0" xfId="3" applyNumberFormat="1" applyFont="1" applyFill="1" applyBorder="1" applyAlignment="1" applyProtection="1">
      <alignment horizontal="right"/>
      <protection locked="0"/>
    </xf>
    <xf numFmtId="168" fontId="4" fillId="12" borderId="29" xfId="3" applyNumberFormat="1" applyFont="1" applyFill="1" applyBorder="1" applyAlignment="1" applyProtection="1">
      <alignment horizontal="right"/>
      <protection locked="0"/>
    </xf>
    <xf numFmtId="4" fontId="4" fillId="12" borderId="1" xfId="3" applyNumberFormat="1" applyFont="1" applyFill="1" applyBorder="1" applyAlignment="1" applyProtection="1">
      <alignment horizontal="right"/>
      <protection locked="0"/>
    </xf>
    <xf numFmtId="168" fontId="4" fillId="12" borderId="1" xfId="3" applyNumberFormat="1" applyFont="1" applyFill="1" applyBorder="1" applyAlignment="1" applyProtection="1">
      <alignment horizontal="right"/>
      <protection locked="0"/>
    </xf>
    <xf numFmtId="0" fontId="4" fillId="12" borderId="1" xfId="3" applyNumberFormat="1" applyFont="1" applyFill="1" applyBorder="1" applyAlignment="1" applyProtection="1">
      <alignment horizontal="right"/>
      <protection locked="0"/>
    </xf>
    <xf numFmtId="0" fontId="62" fillId="0" borderId="0" xfId="7" applyFont="1"/>
    <xf numFmtId="0" fontId="4" fillId="12" borderId="19" xfId="1" applyFill="1" applyBorder="1" applyProtection="1">
      <protection locked="0"/>
    </xf>
    <xf numFmtId="0" fontId="4" fillId="12" borderId="1" xfId="1" applyFill="1" applyBorder="1" applyAlignment="1" applyProtection="1">
      <alignment horizontal="center"/>
      <protection locked="0"/>
    </xf>
    <xf numFmtId="0" fontId="4" fillId="12" borderId="1" xfId="1" applyFill="1" applyBorder="1" applyProtection="1">
      <protection locked="0"/>
    </xf>
    <xf numFmtId="3" fontId="4" fillId="12" borderId="1" xfId="1" applyNumberFormat="1" applyFill="1" applyBorder="1" applyProtection="1">
      <protection locked="0"/>
    </xf>
    <xf numFmtId="4" fontId="8" fillId="4" borderId="32" xfId="1" applyNumberFormat="1" applyFont="1" applyFill="1" applyBorder="1"/>
    <xf numFmtId="4" fontId="2" fillId="2" borderId="1" xfId="7" applyNumberFormat="1" applyFill="1" applyBorder="1"/>
    <xf numFmtId="3" fontId="2" fillId="2" borderId="1" xfId="7" applyNumberFormat="1" applyFill="1" applyBorder="1"/>
    <xf numFmtId="0" fontId="36" fillId="2" borderId="72" xfId="0" applyFont="1" applyFill="1" applyBorder="1"/>
    <xf numFmtId="167" fontId="63" fillId="0" borderId="72" xfId="4" applyNumberFormat="1" applyFont="1" applyFill="1" applyBorder="1"/>
    <xf numFmtId="167" fontId="40" fillId="0" borderId="55" xfId="4" applyNumberFormat="1" applyFont="1" applyFill="1" applyBorder="1"/>
    <xf numFmtId="0" fontId="39" fillId="2" borderId="50" xfId="0" applyFont="1" applyFill="1" applyBorder="1" applyAlignment="1">
      <alignment horizontal="left" indent="1"/>
    </xf>
    <xf numFmtId="0" fontId="36" fillId="2" borderId="50" xfId="0" applyFont="1" applyFill="1" applyBorder="1" applyAlignment="1">
      <alignment horizontal="left" indent="1"/>
    </xf>
    <xf numFmtId="168" fontId="3" fillId="21" borderId="1" xfId="3" applyNumberFormat="1" applyFont="1" applyFill="1" applyBorder="1" applyAlignment="1" applyProtection="1">
      <alignment horizontal="right"/>
      <protection locked="0"/>
    </xf>
    <xf numFmtId="10" fontId="3" fillId="21" borderId="1" xfId="3" applyNumberFormat="1" applyFont="1" applyFill="1" applyBorder="1" applyAlignment="1" applyProtection="1">
      <alignment horizontal="right"/>
      <protection locked="0"/>
    </xf>
    <xf numFmtId="9" fontId="0" fillId="0" borderId="19" xfId="0" applyNumberFormat="1" applyBorder="1" applyAlignment="1">
      <alignment horizontal="center"/>
    </xf>
    <xf numFmtId="9" fontId="0" fillId="0" borderId="19" xfId="0" applyNumberFormat="1" applyBorder="1"/>
    <xf numFmtId="4" fontId="5" fillId="6" borderId="17" xfId="2" applyNumberFormat="1" applyFont="1" applyFill="1" applyBorder="1" applyAlignment="1">
      <alignment horizontal="right"/>
    </xf>
    <xf numFmtId="0" fontId="3" fillId="2" borderId="13" xfId="1" applyFont="1" applyFill="1" applyBorder="1"/>
    <xf numFmtId="0" fontId="4" fillId="2" borderId="19" xfId="1" applyFill="1" applyBorder="1" applyAlignment="1" applyProtection="1">
      <alignment horizontal="left" indent="1"/>
      <protection locked="0"/>
    </xf>
    <xf numFmtId="0" fontId="4" fillId="2" borderId="1" xfId="1" applyFill="1" applyBorder="1" applyAlignment="1" applyProtection="1">
      <alignment horizontal="center"/>
      <protection locked="0"/>
    </xf>
    <xf numFmtId="167" fontId="4" fillId="2" borderId="1" xfId="2" applyNumberFormat="1" applyFont="1" applyFill="1" applyBorder="1" applyProtection="1">
      <protection locked="0"/>
    </xf>
    <xf numFmtId="4" fontId="4" fillId="2" borderId="1" xfId="2" applyNumberFormat="1" applyFont="1" applyFill="1" applyBorder="1" applyProtection="1">
      <protection locked="0"/>
    </xf>
    <xf numFmtId="167" fontId="4" fillId="10" borderId="1" xfId="2" applyNumberFormat="1" applyFont="1" applyFill="1" applyBorder="1" applyProtection="1">
      <protection locked="0"/>
    </xf>
    <xf numFmtId="167" fontId="4" fillId="10" borderId="9" xfId="2" applyNumberFormat="1" applyFont="1" applyFill="1" applyBorder="1" applyProtection="1">
      <protection locked="0"/>
    </xf>
    <xf numFmtId="175" fontId="3" fillId="10" borderId="5" xfId="0" applyNumberFormat="1" applyFont="1" applyFill="1" applyBorder="1"/>
    <xf numFmtId="0" fontId="20" fillId="21" borderId="0" xfId="1" applyFont="1" applyFill="1"/>
    <xf numFmtId="0" fontId="0" fillId="2" borderId="1" xfId="0" applyFill="1" applyBorder="1" applyAlignment="1">
      <alignment horizontal="center" vertical="center"/>
    </xf>
    <xf numFmtId="0" fontId="4" fillId="5" borderId="0" xfId="1" applyFill="1" applyProtection="1">
      <protection locked="0"/>
    </xf>
    <xf numFmtId="3" fontId="4" fillId="5" borderId="0" xfId="1" applyNumberFormat="1" applyFill="1" applyProtection="1">
      <protection locked="0"/>
    </xf>
    <xf numFmtId="1" fontId="0" fillId="2" borderId="1" xfId="0" applyNumberFormat="1" applyFill="1" applyBorder="1" applyAlignment="1">
      <alignment horizontal="center" vertical="center"/>
    </xf>
    <xf numFmtId="0" fontId="3" fillId="2" borderId="0" xfId="1" applyFont="1" applyFill="1" applyAlignment="1">
      <alignment vertical="center"/>
    </xf>
    <xf numFmtId="168" fontId="4" fillId="0" borderId="0" xfId="1" applyNumberFormat="1"/>
    <xf numFmtId="0" fontId="3" fillId="2" borderId="0" xfId="1" applyFont="1" applyFill="1"/>
    <xf numFmtId="3" fontId="3" fillId="2" borderId="0" xfId="1" applyNumberFormat="1" applyFont="1" applyFill="1"/>
    <xf numFmtId="0" fontId="0" fillId="2" borderId="1" xfId="0" applyFill="1" applyBorder="1" applyAlignment="1">
      <alignment horizontal="center"/>
    </xf>
    <xf numFmtId="4" fontId="4" fillId="20" borderId="0" xfId="1" applyNumberFormat="1" applyFill="1"/>
    <xf numFmtId="168" fontId="0" fillId="0" borderId="0" xfId="0" applyNumberFormat="1"/>
    <xf numFmtId="0" fontId="0" fillId="0" borderId="63" xfId="0" applyBorder="1"/>
    <xf numFmtId="0" fontId="0" fillId="0" borderId="74" xfId="0" applyBorder="1"/>
    <xf numFmtId="9" fontId="4" fillId="0" borderId="42" xfId="5" applyFont="1" applyBorder="1" applyAlignment="1">
      <alignment horizontal="center" vertical="center" wrapText="1"/>
    </xf>
    <xf numFmtId="0" fontId="0" fillId="2" borderId="0" xfId="0" applyFill="1" applyAlignment="1">
      <alignment horizontal="center"/>
    </xf>
    <xf numFmtId="3" fontId="2" fillId="12" borderId="0" xfId="7" applyNumberFormat="1" applyFill="1"/>
    <xf numFmtId="1" fontId="64" fillId="12" borderId="0" xfId="0" applyNumberFormat="1" applyFont="1" applyFill="1" applyAlignment="1">
      <alignment horizontal="center" vertical="center"/>
    </xf>
    <xf numFmtId="3" fontId="4" fillId="2" borderId="9" xfId="1" applyNumberFormat="1" applyFill="1" applyBorder="1" applyAlignment="1">
      <alignment horizontal="center"/>
    </xf>
    <xf numFmtId="4" fontId="4" fillId="2" borderId="19" xfId="1" applyNumberFormat="1" applyFill="1" applyBorder="1"/>
    <xf numFmtId="0" fontId="4" fillId="5" borderId="1" xfId="1" applyFill="1" applyBorder="1" applyAlignment="1" applyProtection="1">
      <alignment horizontal="center"/>
      <protection locked="0"/>
    </xf>
    <xf numFmtId="4" fontId="3" fillId="12" borderId="0" xfId="4" applyNumberFormat="1" applyFont="1" applyFill="1" applyBorder="1" applyAlignment="1">
      <alignment horizontal="right"/>
    </xf>
    <xf numFmtId="0" fontId="0" fillId="2" borderId="19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3" fillId="12" borderId="0" xfId="0" applyFont="1" applyFill="1"/>
    <xf numFmtId="9" fontId="3" fillId="12" borderId="0" xfId="0" applyNumberFormat="1" applyFont="1" applyFill="1" applyAlignment="1">
      <alignment horizontal="center"/>
    </xf>
    <xf numFmtId="0" fontId="3" fillId="0" borderId="1" xfId="0" applyFont="1" applyBorder="1" applyAlignment="1">
      <alignment horizontal="center" vertical="center"/>
    </xf>
    <xf numFmtId="1" fontId="4" fillId="0" borderId="0" xfId="1" applyNumberFormat="1"/>
    <xf numFmtId="0" fontId="4" fillId="5" borderId="38" xfId="1" applyFill="1" applyBorder="1" applyProtection="1">
      <protection locked="0"/>
    </xf>
    <xf numFmtId="0" fontId="3" fillId="5" borderId="1" xfId="1" applyFont="1" applyFill="1" applyBorder="1" applyProtection="1">
      <protection locked="0"/>
    </xf>
    <xf numFmtId="1" fontId="3" fillId="2" borderId="1" xfId="0" applyNumberFormat="1" applyFont="1" applyFill="1" applyBorder="1" applyAlignment="1">
      <alignment horizontal="center" vertical="center"/>
    </xf>
    <xf numFmtId="0" fontId="3" fillId="5" borderId="19" xfId="1" applyFont="1" applyFill="1" applyBorder="1" applyProtection="1">
      <protection locked="0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left"/>
    </xf>
    <xf numFmtId="0" fontId="3" fillId="2" borderId="1" xfId="1" applyFont="1" applyFill="1" applyBorder="1" applyAlignment="1">
      <alignment horizontal="center" vertical="center"/>
    </xf>
    <xf numFmtId="0" fontId="3" fillId="2" borderId="9" xfId="1" applyFont="1" applyFill="1" applyBorder="1" applyAlignment="1">
      <alignment horizontal="center" vertical="center"/>
    </xf>
    <xf numFmtId="3" fontId="4" fillId="5" borderId="1" xfId="1" applyNumberFormat="1" applyFill="1" applyBorder="1" applyAlignment="1" applyProtection="1">
      <alignment horizontal="center" vertical="center"/>
      <protection locked="0"/>
    </xf>
    <xf numFmtId="3" fontId="3" fillId="5" borderId="1" xfId="1" applyNumberFormat="1" applyFont="1" applyFill="1" applyBorder="1" applyAlignment="1" applyProtection="1">
      <alignment horizontal="center" vertical="center"/>
      <protection locked="0"/>
    </xf>
    <xf numFmtId="3" fontId="4" fillId="5" borderId="1" xfId="1" applyNumberFormat="1" applyFill="1" applyBorder="1" applyAlignment="1" applyProtection="1">
      <alignment horizontal="center"/>
      <protection locked="0"/>
    </xf>
    <xf numFmtId="3" fontId="3" fillId="5" borderId="1" xfId="1" applyNumberFormat="1" applyFont="1" applyFill="1" applyBorder="1" applyAlignment="1" applyProtection="1">
      <alignment horizontal="center"/>
      <protection locked="0"/>
    </xf>
    <xf numFmtId="3" fontId="3" fillId="2" borderId="1" xfId="1" applyNumberFormat="1" applyFont="1" applyFill="1" applyBorder="1" applyAlignment="1">
      <alignment horizontal="center" vertical="center"/>
    </xf>
    <xf numFmtId="4" fontId="8" fillId="4" borderId="1" xfId="1" applyNumberFormat="1" applyFont="1" applyFill="1" applyBorder="1"/>
    <xf numFmtId="0" fontId="0" fillId="2" borderId="19" xfId="0" applyFill="1" applyBorder="1" applyAlignment="1">
      <alignment horizontal="center" vertical="center"/>
    </xf>
    <xf numFmtId="1" fontId="0" fillId="2" borderId="9" xfId="0" applyNumberFormat="1" applyFill="1" applyBorder="1" applyAlignment="1">
      <alignment horizontal="center" vertical="center"/>
    </xf>
    <xf numFmtId="0" fontId="3" fillId="2" borderId="45" xfId="1" applyFont="1" applyFill="1" applyBorder="1" applyAlignment="1">
      <alignment vertical="center"/>
    </xf>
    <xf numFmtId="1" fontId="3" fillId="2" borderId="45" xfId="1" applyNumberFormat="1" applyFont="1" applyFill="1" applyBorder="1" applyAlignment="1">
      <alignment horizontal="center" vertical="center"/>
    </xf>
    <xf numFmtId="1" fontId="3" fillId="2" borderId="3" xfId="1" applyNumberFormat="1" applyFont="1" applyFill="1" applyBorder="1" applyAlignment="1">
      <alignment horizontal="center" vertical="center"/>
    </xf>
    <xf numFmtId="4" fontId="4" fillId="2" borderId="1" xfId="8" applyNumberFormat="1" applyFont="1" applyFill="1" applyBorder="1"/>
    <xf numFmtId="4" fontId="3" fillId="2" borderId="1" xfId="8" applyNumberFormat="1" applyFont="1" applyFill="1" applyBorder="1"/>
    <xf numFmtId="4" fontId="4" fillId="2" borderId="1" xfId="1" applyNumberFormat="1" applyFill="1" applyBorder="1" applyAlignment="1">
      <alignment horizontal="right"/>
    </xf>
    <xf numFmtId="4" fontId="4" fillId="2" borderId="9" xfId="1" applyNumberFormat="1" applyFill="1" applyBorder="1" applyAlignment="1">
      <alignment horizontal="right"/>
    </xf>
    <xf numFmtId="4" fontId="4" fillId="2" borderId="65" xfId="1" applyNumberFormat="1" applyFill="1" applyBorder="1" applyAlignment="1">
      <alignment horizontal="right"/>
    </xf>
    <xf numFmtId="4" fontId="3" fillId="2" borderId="12" xfId="1" applyNumberFormat="1" applyFont="1" applyFill="1" applyBorder="1" applyAlignment="1">
      <alignment horizontal="right"/>
    </xf>
    <xf numFmtId="4" fontId="3" fillId="2" borderId="5" xfId="1" applyNumberFormat="1" applyFont="1" applyFill="1" applyBorder="1" applyAlignment="1">
      <alignment horizontal="right"/>
    </xf>
    <xf numFmtId="0" fontId="4" fillId="5" borderId="22" xfId="1" applyFill="1" applyBorder="1" applyProtection="1">
      <protection locked="0"/>
    </xf>
    <xf numFmtId="0" fontId="0" fillId="0" borderId="29" xfId="0" applyBorder="1"/>
    <xf numFmtId="0" fontId="3" fillId="5" borderId="1" xfId="1" applyFont="1" applyFill="1" applyBorder="1" applyAlignment="1" applyProtection="1">
      <alignment horizontal="center"/>
      <protection locked="0"/>
    </xf>
    <xf numFmtId="4" fontId="4" fillId="16" borderId="1" xfId="1" applyNumberFormat="1" applyFill="1" applyBorder="1"/>
    <xf numFmtId="4" fontId="3" fillId="10" borderId="21" xfId="4" applyNumberFormat="1" applyFont="1" applyFill="1" applyBorder="1" applyAlignment="1">
      <alignment horizontal="right"/>
    </xf>
    <xf numFmtId="4" fontId="8" fillId="4" borderId="31" xfId="1" applyNumberFormat="1" applyFont="1" applyFill="1" applyBorder="1"/>
    <xf numFmtId="4" fontId="8" fillId="4" borderId="12" xfId="1" applyNumberFormat="1" applyFont="1" applyFill="1" applyBorder="1"/>
    <xf numFmtId="4" fontId="8" fillId="4" borderId="5" xfId="1" applyNumberFormat="1" applyFont="1" applyFill="1" applyBorder="1"/>
    <xf numFmtId="0" fontId="11" fillId="8" borderId="11" xfId="1" applyFont="1" applyFill="1" applyBorder="1" applyAlignment="1">
      <alignment vertical="center"/>
    </xf>
    <xf numFmtId="0" fontId="11" fillId="8" borderId="18" xfId="1" applyFont="1" applyFill="1" applyBorder="1" applyAlignment="1">
      <alignment vertical="center"/>
    </xf>
    <xf numFmtId="0" fontId="11" fillId="8" borderId="17" xfId="1" applyFont="1" applyFill="1" applyBorder="1" applyAlignment="1">
      <alignment vertical="center"/>
    </xf>
    <xf numFmtId="4" fontId="2" fillId="12" borderId="0" xfId="7" applyNumberFormat="1" applyFill="1"/>
    <xf numFmtId="4" fontId="2" fillId="2" borderId="33" xfId="7" applyNumberFormat="1" applyFill="1" applyBorder="1"/>
    <xf numFmtId="3" fontId="2" fillId="2" borderId="32" xfId="7" applyNumberFormat="1" applyFill="1" applyBorder="1"/>
    <xf numFmtId="4" fontId="2" fillId="2" borderId="32" xfId="7" applyNumberFormat="1" applyFill="1" applyBorder="1"/>
    <xf numFmtId="4" fontId="2" fillId="2" borderId="31" xfId="7" applyNumberFormat="1" applyFill="1" applyBorder="1"/>
    <xf numFmtId="4" fontId="2" fillId="2" borderId="19" xfId="7" applyNumberFormat="1" applyFill="1" applyBorder="1"/>
    <xf numFmtId="4" fontId="2" fillId="2" borderId="9" xfId="7" applyNumberFormat="1" applyFill="1" applyBorder="1"/>
    <xf numFmtId="4" fontId="2" fillId="2" borderId="13" xfId="7" applyNumberFormat="1" applyFill="1" applyBorder="1"/>
    <xf numFmtId="3" fontId="2" fillId="2" borderId="12" xfId="7" applyNumberFormat="1" applyFill="1" applyBorder="1"/>
    <xf numFmtId="4" fontId="2" fillId="2" borderId="12" xfId="7" applyNumberFormat="1" applyFill="1" applyBorder="1"/>
    <xf numFmtId="4" fontId="2" fillId="2" borderId="5" xfId="7" applyNumberFormat="1" applyFill="1" applyBorder="1"/>
    <xf numFmtId="4" fontId="63" fillId="2" borderId="75" xfId="7" applyNumberFormat="1" applyFont="1" applyFill="1" applyBorder="1"/>
    <xf numFmtId="0" fontId="11" fillId="0" borderId="0" xfId="1" applyFont="1" applyAlignment="1">
      <alignment horizontal="left"/>
    </xf>
    <xf numFmtId="0" fontId="9" fillId="0" borderId="0" xfId="1" applyFont="1" applyAlignment="1">
      <alignment horizontal="center"/>
    </xf>
    <xf numFmtId="4" fontId="8" fillId="0" borderId="0" xfId="1" applyNumberFormat="1" applyFont="1"/>
    <xf numFmtId="4" fontId="0" fillId="0" borderId="4" xfId="0" applyNumberFormat="1" applyBorder="1"/>
    <xf numFmtId="10" fontId="4" fillId="0" borderId="0" xfId="1" applyNumberFormat="1" applyProtection="1">
      <protection locked="0"/>
    </xf>
    <xf numFmtId="3" fontId="4" fillId="21" borderId="1" xfId="1" applyNumberFormat="1" applyFill="1" applyBorder="1" applyProtection="1">
      <protection locked="0"/>
    </xf>
    <xf numFmtId="3" fontId="19" fillId="0" borderId="0" xfId="1" applyNumberFormat="1" applyFont="1"/>
    <xf numFmtId="3" fontId="4" fillId="5" borderId="1" xfId="1" applyNumberFormat="1" applyFill="1" applyBorder="1" applyProtection="1">
      <protection locked="0"/>
    </xf>
    <xf numFmtId="9" fontId="4" fillId="21" borderId="1" xfId="1" applyNumberFormat="1" applyFill="1" applyBorder="1" applyProtection="1">
      <protection locked="0"/>
    </xf>
    <xf numFmtId="9" fontId="4" fillId="5" borderId="1" xfId="5" applyFont="1" applyFill="1" applyBorder="1" applyProtection="1">
      <protection locked="0"/>
    </xf>
    <xf numFmtId="4" fontId="8" fillId="4" borderId="37" xfId="1" applyNumberFormat="1" applyFont="1" applyFill="1" applyBorder="1"/>
    <xf numFmtId="4" fontId="8" fillId="4" borderId="65" xfId="1" applyNumberFormat="1" applyFont="1" applyFill="1" applyBorder="1"/>
    <xf numFmtId="0" fontId="0" fillId="21" borderId="1" xfId="0" applyFill="1" applyBorder="1" applyAlignment="1">
      <alignment horizontal="center"/>
    </xf>
    <xf numFmtId="1" fontId="4" fillId="5" borderId="1" xfId="1" applyNumberFormat="1" applyFill="1" applyBorder="1" applyAlignment="1" applyProtection="1">
      <alignment horizontal="center"/>
      <protection locked="0"/>
    </xf>
    <xf numFmtId="179" fontId="4" fillId="0" borderId="0" xfId="1" applyNumberFormat="1"/>
    <xf numFmtId="0" fontId="4" fillId="22" borderId="19" xfId="1" applyFill="1" applyBorder="1" applyAlignment="1" applyProtection="1">
      <alignment horizontal="left" indent="1"/>
      <protection locked="0"/>
    </xf>
    <xf numFmtId="0" fontId="4" fillId="22" borderId="1" xfId="1" applyFill="1" applyBorder="1" applyAlignment="1" applyProtection="1">
      <alignment horizontal="center"/>
      <protection locked="0"/>
    </xf>
    <xf numFmtId="167" fontId="4" fillId="22" borderId="1" xfId="2" applyNumberFormat="1" applyFont="1" applyFill="1" applyBorder="1" applyProtection="1">
      <protection locked="0"/>
    </xf>
    <xf numFmtId="4" fontId="4" fillId="22" borderId="1" xfId="2" applyNumberFormat="1" applyFont="1" applyFill="1" applyBorder="1" applyProtection="1">
      <protection locked="0"/>
    </xf>
    <xf numFmtId="0" fontId="4" fillId="22" borderId="1" xfId="1" applyFill="1" applyBorder="1" applyAlignment="1">
      <alignment horizontal="center"/>
    </xf>
    <xf numFmtId="0" fontId="4" fillId="22" borderId="73" xfId="1" applyFill="1" applyBorder="1"/>
    <xf numFmtId="0" fontId="4" fillId="22" borderId="19" xfId="1" applyFill="1" applyBorder="1" applyAlignment="1">
      <alignment horizontal="left" indent="1"/>
    </xf>
    <xf numFmtId="167" fontId="4" fillId="22" borderId="1" xfId="2" applyNumberFormat="1" applyFont="1" applyFill="1" applyBorder="1"/>
    <xf numFmtId="0" fontId="4" fillId="22" borderId="19" xfId="1" applyFill="1" applyBorder="1" applyAlignment="1" applyProtection="1">
      <alignment horizontal="left"/>
      <protection locked="0"/>
    </xf>
    <xf numFmtId="0" fontId="4" fillId="22" borderId="1" xfId="1" applyFill="1" applyBorder="1" applyProtection="1">
      <protection locked="0"/>
    </xf>
    <xf numFmtId="0" fontId="4" fillId="22" borderId="19" xfId="1" applyFill="1" applyBorder="1" applyProtection="1">
      <protection locked="0"/>
    </xf>
    <xf numFmtId="0" fontId="4" fillId="22" borderId="33" xfId="1" applyFill="1" applyBorder="1" applyAlignment="1" applyProtection="1">
      <alignment horizontal="left"/>
      <protection locked="0"/>
    </xf>
    <xf numFmtId="0" fontId="4" fillId="22" borderId="32" xfId="1" applyFill="1" applyBorder="1" applyAlignment="1" applyProtection="1">
      <alignment horizontal="center"/>
      <protection locked="0"/>
    </xf>
    <xf numFmtId="0" fontId="4" fillId="22" borderId="38" xfId="1" applyFill="1" applyBorder="1" applyAlignment="1" applyProtection="1">
      <alignment horizontal="left"/>
      <protection locked="0"/>
    </xf>
    <xf numFmtId="0" fontId="4" fillId="22" borderId="37" xfId="1" applyFill="1" applyBorder="1" applyAlignment="1" applyProtection="1">
      <alignment horizontal="center"/>
      <protection locked="0"/>
    </xf>
    <xf numFmtId="0" fontId="4" fillId="22" borderId="13" xfId="1" applyFill="1" applyBorder="1" applyAlignment="1" applyProtection="1">
      <alignment horizontal="left"/>
      <protection locked="0"/>
    </xf>
    <xf numFmtId="0" fontId="4" fillId="22" borderId="12" xfId="1" applyFill="1" applyBorder="1" applyAlignment="1" applyProtection="1">
      <alignment horizontal="center"/>
      <protection locked="0"/>
    </xf>
    <xf numFmtId="0" fontId="2" fillId="22" borderId="12" xfId="7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22" borderId="1" xfId="0" applyFill="1" applyBorder="1" applyAlignment="1">
      <alignment horizontal="left"/>
    </xf>
    <xf numFmtId="9" fontId="3" fillId="22" borderId="1" xfId="0" applyNumberFormat="1" applyFont="1" applyFill="1" applyBorder="1" applyAlignment="1">
      <alignment horizontal="center" vertical="center"/>
    </xf>
    <xf numFmtId="4" fontId="3" fillId="22" borderId="1" xfId="3" applyNumberFormat="1" applyFont="1" applyFill="1" applyBorder="1" applyAlignment="1" applyProtection="1">
      <alignment horizontal="right"/>
      <protection locked="0"/>
    </xf>
    <xf numFmtId="168" fontId="3" fillId="22" borderId="1" xfId="3" applyNumberFormat="1" applyFont="1" applyFill="1" applyBorder="1" applyAlignment="1" applyProtection="1">
      <alignment horizontal="right"/>
      <protection locked="0"/>
    </xf>
    <xf numFmtId="0" fontId="3" fillId="22" borderId="1" xfId="3" applyNumberFormat="1" applyFont="1" applyFill="1" applyBorder="1" applyAlignment="1" applyProtection="1">
      <alignment horizontal="right"/>
      <protection locked="0"/>
    </xf>
    <xf numFmtId="180" fontId="4" fillId="22" borderId="32" xfId="1" applyNumberFormat="1" applyFill="1" applyBorder="1" applyAlignment="1" applyProtection="1">
      <alignment horizontal="center"/>
      <protection locked="0"/>
    </xf>
    <xf numFmtId="0" fontId="1" fillId="0" borderId="0" xfId="7" applyFont="1"/>
    <xf numFmtId="3" fontId="4" fillId="2" borderId="1" xfId="8" applyNumberFormat="1" applyFont="1" applyFill="1" applyBorder="1"/>
    <xf numFmtId="3" fontId="0" fillId="2" borderId="1" xfId="8" applyNumberFormat="1" applyFont="1" applyFill="1" applyBorder="1" applyAlignment="1">
      <alignment horizontal="center" vertical="center"/>
    </xf>
    <xf numFmtId="3" fontId="4" fillId="2" borderId="9" xfId="8" applyNumberFormat="1" applyFont="1" applyFill="1" applyBorder="1"/>
    <xf numFmtId="3" fontId="3" fillId="2" borderId="13" xfId="8" applyNumberFormat="1" applyFont="1" applyFill="1" applyBorder="1" applyAlignment="1">
      <alignment vertical="center"/>
    </xf>
    <xf numFmtId="0" fontId="3" fillId="0" borderId="63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9" fillId="8" borderId="11" xfId="1" applyFont="1" applyFill="1" applyBorder="1" applyAlignment="1">
      <alignment horizontal="left"/>
    </xf>
    <xf numFmtId="0" fontId="6" fillId="0" borderId="0" xfId="1" applyFont="1" applyAlignment="1">
      <alignment horizontal="center" wrapText="1"/>
    </xf>
    <xf numFmtId="3" fontId="4" fillId="3" borderId="1" xfId="0" applyNumberFormat="1" applyFont="1" applyFill="1" applyBorder="1" applyAlignment="1" applyProtection="1">
      <alignment horizontal="right"/>
      <protection locked="0"/>
    </xf>
    <xf numFmtId="167" fontId="1" fillId="0" borderId="51" xfId="4" applyNumberFormat="1" applyFont="1" applyFill="1" applyBorder="1"/>
    <xf numFmtId="167" fontId="1" fillId="0" borderId="55" xfId="4" applyNumberFormat="1" applyFont="1" applyFill="1" applyBorder="1"/>
    <xf numFmtId="0" fontId="0" fillId="12" borderId="0" xfId="0" applyFill="1"/>
    <xf numFmtId="0" fontId="0" fillId="12" borderId="1" xfId="0" applyFill="1" applyBorder="1"/>
    <xf numFmtId="0" fontId="0" fillId="12" borderId="1" xfId="0" applyFill="1" applyBorder="1" applyAlignment="1">
      <alignment horizontal="center"/>
    </xf>
    <xf numFmtId="4" fontId="0" fillId="12" borderId="1" xfId="0" applyNumberFormat="1" applyFill="1" applyBorder="1"/>
    <xf numFmtId="0" fontId="0" fillId="12" borderId="39" xfId="0" applyFill="1" applyBorder="1"/>
    <xf numFmtId="0" fontId="16" fillId="7" borderId="1" xfId="1" applyFont="1" applyFill="1" applyBorder="1" applyAlignment="1">
      <alignment horizontal="center" vertical="center" wrapText="1"/>
    </xf>
    <xf numFmtId="10" fontId="0" fillId="21" borderId="0" xfId="0" applyNumberFormat="1" applyFill="1" applyAlignment="1">
      <alignment horizontal="center"/>
    </xf>
    <xf numFmtId="181" fontId="4" fillId="22" borderId="1" xfId="1" applyNumberFormat="1" applyFill="1" applyBorder="1" applyAlignment="1" applyProtection="1">
      <alignment horizontal="center"/>
      <protection locked="0"/>
    </xf>
    <xf numFmtId="181" fontId="4" fillId="22" borderId="37" xfId="1" applyNumberFormat="1" applyFill="1" applyBorder="1" applyAlignment="1" applyProtection="1">
      <alignment horizontal="center"/>
      <protection locked="0"/>
    </xf>
    <xf numFmtId="0" fontId="4" fillId="22" borderId="62" xfId="1" applyFill="1" applyBorder="1" applyAlignment="1" applyProtection="1">
      <alignment horizontal="center"/>
      <protection locked="0"/>
    </xf>
    <xf numFmtId="0" fontId="4" fillId="22" borderId="71" xfId="1" applyFill="1" applyBorder="1" applyAlignment="1" applyProtection="1">
      <alignment horizontal="center"/>
      <protection locked="0"/>
    </xf>
    <xf numFmtId="181" fontId="4" fillId="22" borderId="71" xfId="1" applyNumberFormat="1" applyFill="1" applyBorder="1" applyAlignment="1" applyProtection="1">
      <alignment horizontal="center"/>
      <protection locked="0"/>
    </xf>
    <xf numFmtId="181" fontId="4" fillId="22" borderId="12" xfId="1" applyNumberFormat="1" applyFill="1" applyBorder="1" applyAlignment="1" applyProtection="1">
      <alignment horizontal="center"/>
      <protection locked="0"/>
    </xf>
    <xf numFmtId="181" fontId="4" fillId="22" borderId="39" xfId="1" applyNumberFormat="1" applyFill="1" applyBorder="1" applyAlignment="1" applyProtection="1">
      <alignment horizontal="center"/>
      <protection locked="0"/>
    </xf>
    <xf numFmtId="0" fontId="4" fillId="22" borderId="41" xfId="1" applyFill="1" applyBorder="1" applyAlignment="1" applyProtection="1">
      <alignment horizontal="center"/>
      <protection locked="0"/>
    </xf>
    <xf numFmtId="0" fontId="2" fillId="22" borderId="1" xfId="7" applyFill="1" applyBorder="1" applyAlignment="1">
      <alignment horizontal="center"/>
    </xf>
    <xf numFmtId="182" fontId="8" fillId="4" borderId="32" xfId="1" applyNumberFormat="1" applyFont="1" applyFill="1" applyBorder="1"/>
    <xf numFmtId="182" fontId="8" fillId="4" borderId="1" xfId="1" applyNumberFormat="1" applyFont="1" applyFill="1" applyBorder="1"/>
    <xf numFmtId="0" fontId="16" fillId="7" borderId="5" xfId="1" applyFont="1" applyFill="1" applyBorder="1" applyAlignment="1">
      <alignment horizontal="center" vertical="center"/>
    </xf>
    <xf numFmtId="9" fontId="4" fillId="0" borderId="31" xfId="5" applyFont="1" applyBorder="1"/>
    <xf numFmtId="9" fontId="4" fillId="0" borderId="9" xfId="5" applyFont="1" applyBorder="1"/>
    <xf numFmtId="0" fontId="15" fillId="7" borderId="34" xfId="1" applyFont="1" applyFill="1" applyBorder="1" applyAlignment="1">
      <alignment horizontal="center"/>
    </xf>
    <xf numFmtId="0" fontId="15" fillId="7" borderId="4" xfId="1" applyFont="1" applyFill="1" applyBorder="1" applyAlignment="1">
      <alignment horizontal="center"/>
    </xf>
    <xf numFmtId="0" fontId="16" fillId="7" borderId="77" xfId="1" applyFont="1" applyFill="1" applyBorder="1" applyAlignment="1">
      <alignment horizontal="center" vertical="center"/>
    </xf>
    <xf numFmtId="0" fontId="3" fillId="2" borderId="1" xfId="5" applyNumberFormat="1" applyFont="1" applyFill="1" applyBorder="1" applyAlignment="1">
      <alignment horizontal="center"/>
    </xf>
    <xf numFmtId="10" fontId="4" fillId="12" borderId="0" xfId="1" applyNumberFormat="1" applyFill="1"/>
    <xf numFmtId="0" fontId="4" fillId="21" borderId="0" xfId="1" applyFill="1"/>
    <xf numFmtId="3" fontId="4" fillId="23" borderId="1" xfId="1" applyNumberFormat="1" applyFill="1" applyBorder="1"/>
    <xf numFmtId="10" fontId="4" fillId="23" borderId="1" xfId="1" applyNumberFormat="1" applyFill="1" applyBorder="1"/>
    <xf numFmtId="1" fontId="4" fillId="22" borderId="1" xfId="1" applyNumberFormat="1" applyFill="1" applyBorder="1" applyProtection="1">
      <protection locked="0"/>
    </xf>
    <xf numFmtId="4" fontId="2" fillId="0" borderId="0" xfId="7" applyNumberFormat="1"/>
    <xf numFmtId="0" fontId="0" fillId="11" borderId="26" xfId="0" applyFill="1" applyBorder="1"/>
    <xf numFmtId="0" fontId="0" fillId="11" borderId="25" xfId="0" applyFill="1" applyBorder="1"/>
    <xf numFmtId="0" fontId="0" fillId="11" borderId="23" xfId="0" applyFill="1" applyBorder="1"/>
    <xf numFmtId="9" fontId="2" fillId="0" borderId="0" xfId="5" applyFont="1"/>
    <xf numFmtId="4" fontId="0" fillId="0" borderId="1" xfId="0" applyNumberFormat="1" applyBorder="1"/>
    <xf numFmtId="1" fontId="4" fillId="2" borderId="1" xfId="0" applyNumberFormat="1" applyFont="1" applyFill="1" applyBorder="1" applyAlignment="1">
      <alignment horizontal="center" vertical="center"/>
    </xf>
    <xf numFmtId="0" fontId="0" fillId="0" borderId="1" xfId="0" applyBorder="1"/>
    <xf numFmtId="1" fontId="4" fillId="0" borderId="1" xfId="1" applyNumberFormat="1" applyBorder="1"/>
    <xf numFmtId="10" fontId="4" fillId="12" borderId="1" xfId="5" applyNumberFormat="1" applyFont="1" applyFill="1" applyBorder="1"/>
    <xf numFmtId="10" fontId="4" fillId="0" borderId="1" xfId="5" applyNumberFormat="1" applyFont="1" applyBorder="1"/>
    <xf numFmtId="180" fontId="4" fillId="0" borderId="1" xfId="1" applyNumberFormat="1" applyBorder="1"/>
    <xf numFmtId="3" fontId="4" fillId="23" borderId="1" xfId="1" applyNumberFormat="1" applyFill="1" applyBorder="1" applyAlignment="1">
      <alignment horizontal="center"/>
    </xf>
    <xf numFmtId="0" fontId="14" fillId="24" borderId="1" xfId="0" applyFont="1" applyFill="1" applyBorder="1" applyAlignment="1">
      <alignment horizontal="center"/>
    </xf>
    <xf numFmtId="0" fontId="65" fillId="0" borderId="0" xfId="0" applyFont="1"/>
    <xf numFmtId="0" fontId="66" fillId="12" borderId="78" xfId="0" applyFont="1" applyFill="1" applyBorder="1"/>
    <xf numFmtId="0" fontId="65" fillId="12" borderId="78" xfId="0" applyFont="1" applyFill="1" applyBorder="1"/>
    <xf numFmtId="0" fontId="40" fillId="12" borderId="78" xfId="0" applyFont="1" applyFill="1" applyBorder="1" applyAlignment="1">
      <alignment vertical="center"/>
    </xf>
    <xf numFmtId="0" fontId="67" fillId="0" borderId="79" xfId="0" applyFont="1" applyBorder="1" applyAlignment="1">
      <alignment horizontal="center" vertical="center"/>
    </xf>
    <xf numFmtId="0" fontId="67" fillId="0" borderId="80" xfId="0" applyFont="1" applyBorder="1" applyAlignment="1">
      <alignment horizontal="center" vertical="center"/>
    </xf>
    <xf numFmtId="0" fontId="65" fillId="2" borderId="1" xfId="0" applyFont="1" applyFill="1" applyBorder="1" applyAlignment="1">
      <alignment horizontal="center" vertical="center"/>
    </xf>
    <xf numFmtId="0" fontId="40" fillId="12" borderId="78" xfId="0" applyFont="1" applyFill="1" applyBorder="1"/>
    <xf numFmtId="3" fontId="65" fillId="12" borderId="81" xfId="0" applyNumberFormat="1" applyFont="1" applyFill="1" applyBorder="1"/>
    <xf numFmtId="0" fontId="36" fillId="12" borderId="78" xfId="0" applyFont="1" applyFill="1" applyBorder="1" applyAlignment="1">
      <alignment horizontal="center" vertical="center"/>
    </xf>
    <xf numFmtId="0" fontId="65" fillId="21" borderId="1" xfId="0" applyFont="1" applyFill="1" applyBorder="1" applyAlignment="1">
      <alignment horizontal="center" vertical="center"/>
    </xf>
    <xf numFmtId="10" fontId="65" fillId="21" borderId="1" xfId="3" applyNumberFormat="1" applyFont="1" applyFill="1" applyBorder="1" applyAlignment="1">
      <alignment vertical="center"/>
    </xf>
    <xf numFmtId="3" fontId="65" fillId="12" borderId="78" xfId="0" applyNumberFormat="1" applyFont="1" applyFill="1" applyBorder="1"/>
    <xf numFmtId="0" fontId="65" fillId="12" borderId="1" xfId="0" applyFont="1" applyFill="1" applyBorder="1" applyAlignment="1">
      <alignment horizontal="center" vertical="center"/>
    </xf>
    <xf numFmtId="10" fontId="65" fillId="12" borderId="1" xfId="3" applyNumberFormat="1" applyFont="1" applyFill="1" applyBorder="1" applyAlignment="1">
      <alignment vertical="center"/>
    </xf>
    <xf numFmtId="0" fontId="40" fillId="0" borderId="78" xfId="0" applyFont="1" applyBorder="1"/>
    <xf numFmtId="3" fontId="65" fillId="0" borderId="78" xfId="0" applyNumberFormat="1" applyFont="1" applyBorder="1"/>
    <xf numFmtId="0" fontId="65" fillId="12" borderId="79" xfId="0" applyFont="1" applyFill="1" applyBorder="1"/>
    <xf numFmtId="0" fontId="65" fillId="12" borderId="82" xfId="0" applyFont="1" applyFill="1" applyBorder="1"/>
    <xf numFmtId="49" fontId="65" fillId="0" borderId="80" xfId="0" applyNumberFormat="1" applyFont="1" applyBorder="1"/>
    <xf numFmtId="0" fontId="65" fillId="0" borderId="78" xfId="0" applyFont="1" applyBorder="1"/>
    <xf numFmtId="0" fontId="65" fillId="12" borderId="78" xfId="0" applyFont="1" applyFill="1" applyBorder="1" applyAlignment="1">
      <alignment horizontal="left" vertical="center"/>
    </xf>
    <xf numFmtId="0" fontId="65" fillId="12" borderId="78" xfId="0" applyFont="1" applyFill="1" applyBorder="1" applyAlignment="1">
      <alignment horizontal="center" vertical="center"/>
    </xf>
    <xf numFmtId="49" fontId="65" fillId="0" borderId="0" xfId="0" applyNumberFormat="1" applyFont="1"/>
    <xf numFmtId="0" fontId="68" fillId="21" borderId="1" xfId="0" applyFont="1" applyFill="1" applyBorder="1" applyAlignment="1">
      <alignment horizontal="center" vertical="center"/>
    </xf>
    <xf numFmtId="0" fontId="36" fillId="21" borderId="1" xfId="0" applyFont="1" applyFill="1" applyBorder="1" applyAlignment="1">
      <alignment horizontal="center" vertical="center"/>
    </xf>
    <xf numFmtId="0" fontId="65" fillId="12" borderId="83" xfId="0" applyFont="1" applyFill="1" applyBorder="1"/>
    <xf numFmtId="0" fontId="40" fillId="2" borderId="42" xfId="0" applyFont="1" applyFill="1" applyBorder="1"/>
    <xf numFmtId="10" fontId="65" fillId="2" borderId="1" xfId="0" applyNumberFormat="1" applyFont="1" applyFill="1" applyBorder="1"/>
    <xf numFmtId="0" fontId="40" fillId="2" borderId="1" xfId="0" applyFont="1" applyFill="1" applyBorder="1"/>
    <xf numFmtId="0" fontId="65" fillId="12" borderId="84" xfId="0" applyFont="1" applyFill="1" applyBorder="1"/>
    <xf numFmtId="0" fontId="4" fillId="2" borderId="1" xfId="0" applyFont="1" applyFill="1" applyBorder="1" applyAlignment="1">
      <alignment horizontal="center"/>
    </xf>
    <xf numFmtId="0" fontId="40" fillId="0" borderId="0" xfId="0" applyFont="1"/>
    <xf numFmtId="10" fontId="65" fillId="0" borderId="1" xfId="0" applyNumberFormat="1" applyFont="1" applyBorder="1"/>
    <xf numFmtId="0" fontId="40" fillId="0" borderId="1" xfId="0" applyFont="1" applyBorder="1"/>
    <xf numFmtId="3" fontId="65" fillId="0" borderId="1" xfId="0" applyNumberFormat="1" applyFont="1" applyBorder="1"/>
    <xf numFmtId="4" fontId="40" fillId="0" borderId="1" xfId="0" applyNumberFormat="1" applyFont="1" applyBorder="1"/>
    <xf numFmtId="0" fontId="65" fillId="12" borderId="80" xfId="0" applyFont="1" applyFill="1" applyBorder="1"/>
    <xf numFmtId="4" fontId="40" fillId="0" borderId="1" xfId="0" applyNumberFormat="1" applyFont="1" applyBorder="1" applyAlignment="1">
      <alignment wrapText="1"/>
    </xf>
    <xf numFmtId="0" fontId="36" fillId="2" borderId="42" xfId="0" applyFont="1" applyFill="1" applyBorder="1" applyAlignment="1">
      <alignment vertical="center"/>
    </xf>
    <xf numFmtId="183" fontId="69" fillId="0" borderId="1" xfId="8" applyNumberFormat="1" applyFont="1" applyBorder="1" applyAlignment="1">
      <alignment horizontal="center" vertical="center"/>
    </xf>
    <xf numFmtId="183" fontId="68" fillId="0" borderId="1" xfId="8" applyNumberFormat="1" applyFont="1" applyBorder="1" applyAlignment="1">
      <alignment vertical="center"/>
    </xf>
    <xf numFmtId="0" fontId="0" fillId="12" borderId="1" xfId="0" applyFill="1" applyBorder="1" applyAlignment="1">
      <alignment horizontal="center" vertical="center"/>
    </xf>
    <xf numFmtId="4" fontId="0" fillId="12" borderId="1" xfId="0" applyNumberFormat="1" applyFill="1" applyBorder="1" applyAlignment="1">
      <alignment horizontal="center" vertical="center"/>
    </xf>
    <xf numFmtId="0" fontId="3" fillId="0" borderId="0" xfId="0" applyFont="1" applyAlignment="1">
      <alignment horizontal="center"/>
    </xf>
    <xf numFmtId="167" fontId="65" fillId="12" borderId="78" xfId="4" applyNumberFormat="1" applyFont="1" applyFill="1" applyBorder="1"/>
    <xf numFmtId="0" fontId="3" fillId="2" borderId="15" xfId="1" applyFont="1" applyFill="1" applyBorder="1" applyAlignment="1">
      <alignment horizontal="center"/>
    </xf>
    <xf numFmtId="9" fontId="0" fillId="2" borderId="1" xfId="0" applyNumberFormat="1" applyFill="1" applyBorder="1" applyAlignment="1">
      <alignment horizontal="center"/>
    </xf>
    <xf numFmtId="0" fontId="4" fillId="2" borderId="19" xfId="0" applyFont="1" applyFill="1" applyBorder="1" applyAlignment="1">
      <alignment horizontal="center" vertical="center"/>
    </xf>
    <xf numFmtId="0" fontId="0" fillId="15" borderId="1" xfId="0" applyFill="1" applyBorder="1"/>
    <xf numFmtId="0" fontId="4" fillId="1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wrapText="1"/>
    </xf>
    <xf numFmtId="2" fontId="0" fillId="0" borderId="1" xfId="0" applyNumberFormat="1" applyBorder="1"/>
    <xf numFmtId="0" fontId="4" fillId="21" borderId="1" xfId="0" applyFont="1" applyFill="1" applyBorder="1" applyAlignment="1">
      <alignment wrapText="1"/>
    </xf>
    <xf numFmtId="3" fontId="0" fillId="21" borderId="1" xfId="0" applyNumberFormat="1" applyFill="1" applyBorder="1"/>
    <xf numFmtId="0" fontId="19" fillId="0" borderId="30" xfId="1" applyFont="1" applyBorder="1" applyAlignment="1">
      <alignment horizontal="center" vertical="center"/>
    </xf>
    <xf numFmtId="0" fontId="19" fillId="0" borderId="29" xfId="1" applyFont="1" applyBorder="1" applyAlignment="1">
      <alignment horizontal="center" vertical="center"/>
    </xf>
    <xf numFmtId="0" fontId="19" fillId="0" borderId="27" xfId="1" applyFont="1" applyBorder="1" applyAlignment="1">
      <alignment horizontal="center" vertical="center"/>
    </xf>
    <xf numFmtId="0" fontId="19" fillId="17" borderId="34" xfId="0" applyFont="1" applyFill="1" applyBorder="1" applyAlignment="1">
      <alignment horizontal="center" vertical="center"/>
    </xf>
    <xf numFmtId="0" fontId="19" fillId="17" borderId="0" xfId="0" applyFont="1" applyFill="1" applyAlignment="1">
      <alignment horizontal="center" vertical="center"/>
    </xf>
    <xf numFmtId="0" fontId="19" fillId="17" borderId="4" xfId="0" applyFont="1" applyFill="1" applyBorder="1" applyAlignment="1">
      <alignment horizontal="center" vertical="center"/>
    </xf>
    <xf numFmtId="0" fontId="15" fillId="7" borderId="26" xfId="1" applyFont="1" applyFill="1" applyBorder="1" applyAlignment="1">
      <alignment horizontal="center" vertical="center"/>
    </xf>
    <xf numFmtId="0" fontId="15" fillId="7" borderId="25" xfId="1" applyFont="1" applyFill="1" applyBorder="1" applyAlignment="1">
      <alignment horizontal="center" vertical="center"/>
    </xf>
    <xf numFmtId="0" fontId="15" fillId="7" borderId="23" xfId="1" applyFont="1" applyFill="1" applyBorder="1" applyAlignment="1">
      <alignment horizontal="center" vertical="center"/>
    </xf>
    <xf numFmtId="0" fontId="10" fillId="0" borderId="0" xfId="1" applyFont="1" applyAlignment="1">
      <alignment horizontal="left"/>
    </xf>
    <xf numFmtId="0" fontId="16" fillId="12" borderId="0" xfId="1" applyFont="1" applyFill="1" applyAlignment="1">
      <alignment horizontal="center"/>
    </xf>
    <xf numFmtId="0" fontId="15" fillId="12" borderId="0" xfId="1" applyFont="1" applyFill="1" applyAlignment="1">
      <alignment horizontal="center"/>
    </xf>
    <xf numFmtId="0" fontId="15" fillId="7" borderId="26" xfId="1" applyFont="1" applyFill="1" applyBorder="1" applyAlignment="1">
      <alignment horizontal="center"/>
    </xf>
    <xf numFmtId="0" fontId="15" fillId="7" borderId="23" xfId="1" applyFont="1" applyFill="1" applyBorder="1" applyAlignment="1">
      <alignment horizontal="center"/>
    </xf>
    <xf numFmtId="0" fontId="14" fillId="7" borderId="16" xfId="1" applyFont="1" applyFill="1" applyBorder="1" applyAlignment="1">
      <alignment horizontal="left"/>
    </xf>
    <xf numFmtId="0" fontId="14" fillId="7" borderId="15" xfId="1" applyFont="1" applyFill="1" applyBorder="1" applyAlignment="1">
      <alignment horizontal="left"/>
    </xf>
    <xf numFmtId="0" fontId="14" fillId="7" borderId="14" xfId="1" applyFont="1" applyFill="1" applyBorder="1" applyAlignment="1">
      <alignment horizontal="left"/>
    </xf>
    <xf numFmtId="0" fontId="16" fillId="7" borderId="30" xfId="1" applyFont="1" applyFill="1" applyBorder="1" applyAlignment="1">
      <alignment horizontal="center"/>
    </xf>
    <xf numFmtId="0" fontId="16" fillId="7" borderId="27" xfId="1" applyFont="1" applyFill="1" applyBorder="1" applyAlignment="1">
      <alignment horizontal="center"/>
    </xf>
    <xf numFmtId="0" fontId="14" fillId="7" borderId="11" xfId="1" applyFont="1" applyFill="1" applyBorder="1" applyAlignment="1">
      <alignment horizontal="left"/>
    </xf>
    <xf numFmtId="0" fontId="14" fillId="7" borderId="18" xfId="1" applyFont="1" applyFill="1" applyBorder="1" applyAlignment="1">
      <alignment horizontal="left"/>
    </xf>
    <xf numFmtId="0" fontId="14" fillId="7" borderId="17" xfId="1" applyFont="1" applyFill="1" applyBorder="1" applyAlignment="1">
      <alignment horizontal="left"/>
    </xf>
    <xf numFmtId="0" fontId="16" fillId="7" borderId="1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17" fillId="0" borderId="0" xfId="1" applyFont="1" applyAlignment="1">
      <alignment horizontal="center"/>
    </xf>
    <xf numFmtId="0" fontId="19" fillId="13" borderId="11" xfId="0" applyFont="1" applyFill="1" applyBorder="1" applyAlignment="1">
      <alignment horizontal="center" vertical="center"/>
    </xf>
    <xf numFmtId="0" fontId="19" fillId="13" borderId="18" xfId="0" applyFont="1" applyFill="1" applyBorder="1" applyAlignment="1">
      <alignment horizontal="center" vertical="center"/>
    </xf>
    <xf numFmtId="0" fontId="19" fillId="13" borderId="17" xfId="0" applyFont="1" applyFill="1" applyBorder="1" applyAlignment="1">
      <alignment horizontal="center" vertical="center"/>
    </xf>
    <xf numFmtId="0" fontId="3" fillId="2" borderId="22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2" borderId="20" xfId="1" applyFont="1" applyFill="1" applyBorder="1" applyAlignment="1">
      <alignment horizontal="left"/>
    </xf>
    <xf numFmtId="0" fontId="3" fillId="2" borderId="19" xfId="1" applyFont="1" applyFill="1" applyBorder="1" applyAlignment="1">
      <alignment horizontal="right"/>
    </xf>
    <xf numFmtId="0" fontId="3" fillId="2" borderId="1" xfId="1" applyFont="1" applyFill="1" applyBorder="1" applyAlignment="1">
      <alignment horizontal="right"/>
    </xf>
    <xf numFmtId="0" fontId="49" fillId="6" borderId="11" xfId="1" applyFont="1" applyFill="1" applyBorder="1" applyAlignment="1">
      <alignment horizontal="left"/>
    </xf>
    <xf numFmtId="0" fontId="49" fillId="6" borderId="18" xfId="1" applyFont="1" applyFill="1" applyBorder="1" applyAlignment="1">
      <alignment horizontal="left"/>
    </xf>
    <xf numFmtId="0" fontId="13" fillId="7" borderId="16" xfId="1" applyFont="1" applyFill="1" applyBorder="1" applyAlignment="1">
      <alignment horizontal="left"/>
    </xf>
    <xf numFmtId="0" fontId="13" fillId="7" borderId="15" xfId="1" applyFont="1" applyFill="1" applyBorder="1" applyAlignment="1">
      <alignment horizontal="left"/>
    </xf>
    <xf numFmtId="0" fontId="13" fillId="7" borderId="14" xfId="1" applyFont="1" applyFill="1" applyBorder="1" applyAlignment="1">
      <alignment horizontal="left"/>
    </xf>
    <xf numFmtId="0" fontId="11" fillId="8" borderId="16" xfId="1" applyFont="1" applyFill="1" applyBorder="1" applyAlignment="1">
      <alignment horizontal="left"/>
    </xf>
    <xf numFmtId="0" fontId="11" fillId="8" borderId="15" xfId="1" applyFont="1" applyFill="1" applyBorder="1" applyAlignment="1">
      <alignment horizontal="left"/>
    </xf>
    <xf numFmtId="0" fontId="11" fillId="8" borderId="14" xfId="1" applyFont="1" applyFill="1" applyBorder="1" applyAlignment="1">
      <alignment horizontal="left"/>
    </xf>
    <xf numFmtId="0" fontId="7" fillId="0" borderId="8" xfId="1" applyFont="1" applyBorder="1" applyAlignment="1">
      <alignment horizontal="right"/>
    </xf>
    <xf numFmtId="0" fontId="7" fillId="0" borderId="7" xfId="1" applyFont="1" applyBorder="1" applyAlignment="1">
      <alignment horizontal="right"/>
    </xf>
    <xf numFmtId="0" fontId="7" fillId="0" borderId="6" xfId="1" applyFont="1" applyBorder="1" applyAlignment="1">
      <alignment horizontal="right"/>
    </xf>
    <xf numFmtId="0" fontId="11" fillId="8" borderId="11" xfId="1" applyFont="1" applyFill="1" applyBorder="1" applyAlignment="1">
      <alignment horizontal="left" vertical="center"/>
    </xf>
    <xf numFmtId="0" fontId="11" fillId="8" borderId="18" xfId="1" applyFont="1" applyFill="1" applyBorder="1" applyAlignment="1">
      <alignment horizontal="left" vertical="center"/>
    </xf>
    <xf numFmtId="0" fontId="11" fillId="8" borderId="17" xfId="1" applyFont="1" applyFill="1" applyBorder="1" applyAlignment="1">
      <alignment horizontal="left" vertical="center"/>
    </xf>
    <xf numFmtId="4" fontId="63" fillId="2" borderId="11" xfId="7" applyNumberFormat="1" applyFont="1" applyFill="1" applyBorder="1" applyAlignment="1">
      <alignment horizontal="right"/>
    </xf>
    <xf numFmtId="4" fontId="63" fillId="2" borderId="18" xfId="7" applyNumberFormat="1" applyFont="1" applyFill="1" applyBorder="1" applyAlignment="1">
      <alignment horizontal="right"/>
    </xf>
    <xf numFmtId="4" fontId="63" fillId="2" borderId="66" xfId="7" applyNumberFormat="1" applyFont="1" applyFill="1" applyBorder="1" applyAlignment="1">
      <alignment horizontal="right"/>
    </xf>
    <xf numFmtId="4" fontId="8" fillId="4" borderId="76" xfId="1" applyNumberFormat="1" applyFont="1" applyFill="1" applyBorder="1" applyAlignment="1">
      <alignment horizontal="center" vertical="center"/>
    </xf>
    <xf numFmtId="4" fontId="8" fillId="4" borderId="77" xfId="1" applyNumberFormat="1" applyFont="1" applyFill="1" applyBorder="1" applyAlignment="1">
      <alignment horizontal="center" vertical="center"/>
    </xf>
    <xf numFmtId="4" fontId="8" fillId="4" borderId="46" xfId="1" applyNumberFormat="1" applyFont="1" applyFill="1" applyBorder="1" applyAlignment="1">
      <alignment horizontal="center" vertical="center"/>
    </xf>
    <xf numFmtId="4" fontId="8" fillId="4" borderId="37" xfId="1" applyNumberFormat="1" applyFont="1" applyFill="1" applyBorder="1" applyAlignment="1">
      <alignment horizontal="center" vertical="center" wrapText="1"/>
    </xf>
    <xf numFmtId="4" fontId="8" fillId="4" borderId="71" xfId="1" applyNumberFormat="1" applyFont="1" applyFill="1" applyBorder="1" applyAlignment="1">
      <alignment horizontal="center" vertical="center" wrapText="1"/>
    </xf>
    <xf numFmtId="4" fontId="8" fillId="4" borderId="24" xfId="1" applyNumberFormat="1" applyFont="1" applyFill="1" applyBorder="1" applyAlignment="1">
      <alignment horizontal="center" vertical="center" wrapText="1"/>
    </xf>
    <xf numFmtId="4" fontId="8" fillId="4" borderId="37" xfId="1" applyNumberFormat="1" applyFont="1" applyFill="1" applyBorder="1" applyAlignment="1">
      <alignment horizontal="center" vertical="center"/>
    </xf>
    <xf numFmtId="4" fontId="8" fillId="4" borderId="71" xfId="1" applyNumberFormat="1" applyFont="1" applyFill="1" applyBorder="1" applyAlignment="1">
      <alignment horizontal="center" vertical="center"/>
    </xf>
    <xf numFmtId="4" fontId="8" fillId="4" borderId="24" xfId="1" applyNumberFormat="1" applyFont="1" applyFill="1" applyBorder="1" applyAlignment="1">
      <alignment horizontal="center" vertical="center"/>
    </xf>
    <xf numFmtId="0" fontId="3" fillId="0" borderId="62" xfId="0" applyFont="1" applyBorder="1" applyAlignment="1">
      <alignment horizontal="center" vertical="center" wrapText="1"/>
    </xf>
    <xf numFmtId="0" fontId="3" fillId="0" borderId="63" xfId="0" applyFont="1" applyBorder="1" applyAlignment="1">
      <alignment horizontal="center" vertical="center" wrapText="1"/>
    </xf>
    <xf numFmtId="0" fontId="3" fillId="0" borderId="42" xfId="0" applyFont="1" applyBorder="1" applyAlignment="1">
      <alignment horizontal="center" vertical="center" wrapText="1"/>
    </xf>
    <xf numFmtId="0" fontId="3" fillId="0" borderId="41" xfId="0" applyFont="1" applyBorder="1" applyAlignment="1">
      <alignment horizontal="center" vertical="center" wrapText="1"/>
    </xf>
    <xf numFmtId="0" fontId="4" fillId="0" borderId="0" xfId="0" applyFont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6" fillId="0" borderId="29" xfId="1" applyFont="1" applyBorder="1" applyAlignment="1">
      <alignment horizontal="left" wrapText="1"/>
    </xf>
    <xf numFmtId="0" fontId="9" fillId="8" borderId="11" xfId="1" applyFont="1" applyFill="1" applyBorder="1" applyAlignment="1">
      <alignment horizontal="left"/>
    </xf>
    <xf numFmtId="0" fontId="9" fillId="8" borderId="18" xfId="1" applyFont="1" applyFill="1" applyBorder="1" applyAlignment="1">
      <alignment horizontal="left"/>
    </xf>
    <xf numFmtId="0" fontId="4" fillId="0" borderId="42" xfId="0" applyFont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/>
    </xf>
    <xf numFmtId="0" fontId="9" fillId="8" borderId="34" xfId="1" applyFont="1" applyFill="1" applyBorder="1" applyAlignment="1">
      <alignment horizontal="left"/>
    </xf>
    <xf numFmtId="0" fontId="9" fillId="8" borderId="0" xfId="1" applyFont="1" applyFill="1" applyAlignment="1">
      <alignment horizontal="left"/>
    </xf>
    <xf numFmtId="0" fontId="14" fillId="7" borderId="26" xfId="1" applyFont="1" applyFill="1" applyBorder="1" applyAlignment="1">
      <alignment horizontal="left"/>
    </xf>
    <xf numFmtId="0" fontId="14" fillId="7" borderId="25" xfId="1" applyFont="1" applyFill="1" applyBorder="1" applyAlignment="1">
      <alignment horizontal="left"/>
    </xf>
    <xf numFmtId="0" fontId="14" fillId="7" borderId="23" xfId="1" applyFont="1" applyFill="1" applyBorder="1" applyAlignment="1">
      <alignment horizontal="left"/>
    </xf>
    <xf numFmtId="0" fontId="19" fillId="0" borderId="11" xfId="1" applyFont="1" applyBorder="1" applyAlignment="1">
      <alignment horizontal="center" vertical="center"/>
    </xf>
    <xf numFmtId="0" fontId="19" fillId="0" borderId="18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6" fillId="0" borderId="0" xfId="1" applyFont="1" applyAlignment="1">
      <alignment horizontal="center" wrapText="1"/>
    </xf>
    <xf numFmtId="0" fontId="3" fillId="0" borderId="0" xfId="1" applyFont="1" applyAlignment="1">
      <alignment horizontal="center"/>
    </xf>
    <xf numFmtId="0" fontId="3" fillId="14" borderId="0" xfId="0" applyFont="1" applyFill="1" applyAlignment="1">
      <alignment horizontal="center" vertical="center" wrapText="1"/>
    </xf>
    <xf numFmtId="0" fontId="30" fillId="0" borderId="0" xfId="1" applyFont="1" applyAlignment="1">
      <alignment horizontal="center"/>
    </xf>
  </cellXfs>
  <cellStyles count="9">
    <cellStyle name="Millares" xfId="4" builtinId="3"/>
    <cellStyle name="Millares 2" xfId="2" xr:uid="{00000000-0005-0000-0000-000001000000}"/>
    <cellStyle name="Millares 3" xfId="6" xr:uid="{00000000-0005-0000-0000-000002000000}"/>
    <cellStyle name="Moneda" xfId="8" builtinId="4"/>
    <cellStyle name="Normal" xfId="0" builtinId="0"/>
    <cellStyle name="Normal 2" xfId="1" xr:uid="{00000000-0005-0000-0000-000005000000}"/>
    <cellStyle name="Normal 3" xfId="7" xr:uid="{00000000-0005-0000-0000-000006000000}"/>
    <cellStyle name="Porcentaje" xfId="5" builtinId="5"/>
    <cellStyle name="Porcentaje 2" xfId="3" xr:uid="{00000000-0005-0000-0000-000008000000}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 b="1" i="0"/>
              <a:t>Punto de Equilibrio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PEq!$D$12</c:f>
              <c:strCache>
                <c:ptCount val="1"/>
                <c:pt idx="0">
                  <c:v>CV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PEq!$C$13:$C$25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PEq!$D$13:$D$25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DC-48B3-95BD-774604780348}"/>
            </c:ext>
          </c:extLst>
        </c:ser>
        <c:ser>
          <c:idx val="1"/>
          <c:order val="1"/>
          <c:tx>
            <c:strRef>
              <c:f>PEq!$E$12</c:f>
              <c:strCache>
                <c:ptCount val="1"/>
                <c:pt idx="0">
                  <c:v>CF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PEq!$C$13:$C$25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PEq!$E$13:$E$25</c:f>
              <c:numCache>
                <c:formatCode>#,##0.00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DC-48B3-95BD-774604780348}"/>
            </c:ext>
          </c:extLst>
        </c:ser>
        <c:ser>
          <c:idx val="2"/>
          <c:order val="2"/>
          <c:tx>
            <c:strRef>
              <c:f>PEq!$F$12</c:f>
              <c:strCache>
                <c:ptCount val="1"/>
                <c:pt idx="0">
                  <c:v>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PEq!$C$13:$C$25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PEq!$F$13:$F$25</c:f>
              <c:numCache>
                <c:formatCode>#,##0.00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0DC-48B3-95BD-774604780348}"/>
            </c:ext>
          </c:extLst>
        </c:ser>
        <c:ser>
          <c:idx val="3"/>
          <c:order val="3"/>
          <c:tx>
            <c:strRef>
              <c:f>PEq!$G$12</c:f>
              <c:strCache>
                <c:ptCount val="1"/>
                <c:pt idx="0">
                  <c:v>INGRESOS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3"/>
            <c:spPr>
              <a:solidFill>
                <a:schemeClr val="accent1">
                  <a:lumMod val="75000"/>
                </a:schemeClr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PEq!$C$13:$C$25</c:f>
              <c:numCache>
                <c:formatCode>General</c:formatCode>
                <c:ptCount val="13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</c:numCache>
            </c:numRef>
          </c:xVal>
          <c:yVal>
            <c:numRef>
              <c:f>PEq!$G$13:$G$25</c:f>
              <c:numCache>
                <c:formatCode>General</c:formatCode>
                <c:ptCount val="13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0DC-48B3-95BD-7746047803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240528"/>
        <c:axId val="257241088"/>
      </c:scatterChart>
      <c:valAx>
        <c:axId val="257240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Q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241088"/>
        <c:crosses val="autoZero"/>
        <c:crossBetween val="midCat"/>
      </c:valAx>
      <c:valAx>
        <c:axId val="257241088"/>
        <c:scaling>
          <c:orientation val="minMax"/>
          <c:max val="13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SOLES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257240528"/>
        <c:crosses val="autoZero"/>
        <c:crossBetween val="midCat"/>
        <c:majorUnit val="15000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285750</xdr:colOff>
      <xdr:row>24</xdr:row>
      <xdr:rowOff>47625</xdr:rowOff>
    </xdr:from>
    <xdr:to>
      <xdr:col>3</xdr:col>
      <xdr:colOff>657225</xdr:colOff>
      <xdr:row>58</xdr:row>
      <xdr:rowOff>3175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FCA3733B-54F8-4A10-BEC3-E1FEA88CBB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5750" y="3905250"/>
          <a:ext cx="5467350" cy="53530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676275</xdr:colOff>
      <xdr:row>27</xdr:row>
      <xdr:rowOff>76200</xdr:rowOff>
    </xdr:from>
    <xdr:to>
      <xdr:col>4</xdr:col>
      <xdr:colOff>781049</xdr:colOff>
      <xdr:row>31</xdr:row>
      <xdr:rowOff>95250</xdr:rowOff>
    </xdr:to>
    <xdr:pic>
      <xdr:nvPicPr>
        <xdr:cNvPr id="1085" name="Picture 52">
          <a:extLst>
            <a:ext uri="{FF2B5EF4-FFF2-40B4-BE49-F238E27FC236}">
              <a16:creationId xmlns:a16="http://schemas.microsoft.com/office/drawing/2014/main" id="{00000000-0008-0000-0500-00003D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38275" y="3438525"/>
          <a:ext cx="1857375" cy="752475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0</xdr:colOff>
      <xdr:row>27</xdr:row>
      <xdr:rowOff>76200</xdr:rowOff>
    </xdr:from>
    <xdr:to>
      <xdr:col>12</xdr:col>
      <xdr:colOff>9526</xdr:colOff>
      <xdr:row>31</xdr:row>
      <xdr:rowOff>95250</xdr:rowOff>
    </xdr:to>
    <xdr:pic>
      <xdr:nvPicPr>
        <xdr:cNvPr id="5" name="Picture 52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3543300"/>
          <a:ext cx="1743075" cy="752475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16</xdr:col>
      <xdr:colOff>676275</xdr:colOff>
      <xdr:row>27</xdr:row>
      <xdr:rowOff>76200</xdr:rowOff>
    </xdr:from>
    <xdr:to>
      <xdr:col>19</xdr:col>
      <xdr:colOff>0</xdr:colOff>
      <xdr:row>31</xdr:row>
      <xdr:rowOff>95250</xdr:rowOff>
    </xdr:to>
    <xdr:pic>
      <xdr:nvPicPr>
        <xdr:cNvPr id="7" name="Picture 52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238875" y="3543300"/>
          <a:ext cx="771525" cy="752475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23</xdr:col>
      <xdr:colOff>676275</xdr:colOff>
      <xdr:row>27</xdr:row>
      <xdr:rowOff>76200</xdr:rowOff>
    </xdr:from>
    <xdr:to>
      <xdr:col>26</xdr:col>
      <xdr:colOff>0</xdr:colOff>
      <xdr:row>31</xdr:row>
      <xdr:rowOff>95250</xdr:rowOff>
    </xdr:to>
    <xdr:pic>
      <xdr:nvPicPr>
        <xdr:cNvPr id="11" name="Picture 52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3811" y="5750379"/>
          <a:ext cx="1609725" cy="753836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30</xdr:col>
      <xdr:colOff>676275</xdr:colOff>
      <xdr:row>27</xdr:row>
      <xdr:rowOff>76200</xdr:rowOff>
    </xdr:from>
    <xdr:to>
      <xdr:col>33</xdr:col>
      <xdr:colOff>0</xdr:colOff>
      <xdr:row>31</xdr:row>
      <xdr:rowOff>95250</xdr:rowOff>
    </xdr:to>
    <xdr:pic>
      <xdr:nvPicPr>
        <xdr:cNvPr id="13" name="Picture 5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3811" y="5750379"/>
          <a:ext cx="1609725" cy="753836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37</xdr:col>
      <xdr:colOff>676275</xdr:colOff>
      <xdr:row>27</xdr:row>
      <xdr:rowOff>76200</xdr:rowOff>
    </xdr:from>
    <xdr:to>
      <xdr:col>40</xdr:col>
      <xdr:colOff>0</xdr:colOff>
      <xdr:row>31</xdr:row>
      <xdr:rowOff>95250</xdr:rowOff>
    </xdr:to>
    <xdr:pic>
      <xdr:nvPicPr>
        <xdr:cNvPr id="15" name="Picture 52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983811" y="5750379"/>
          <a:ext cx="1609725" cy="753836"/>
        </a:xfrm>
        <a:prstGeom prst="rect">
          <a:avLst/>
        </a:prstGeom>
        <a:noFill/>
        <a:ln w="9525">
          <a:solidFill>
            <a:srgbClr val="4F81BD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84666</xdr:colOff>
      <xdr:row>9</xdr:row>
      <xdr:rowOff>141817</xdr:rowOff>
    </xdr:from>
    <xdr:to>
      <xdr:col>14</xdr:col>
      <xdr:colOff>338666</xdr:colOff>
      <xdr:row>27</xdr:row>
      <xdr:rowOff>27517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27D63172-C1DE-47F0-83F1-55CBC742C6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ASTER\Downloads\5.5_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5.5 -Mat "/>
    </sheetNames>
    <sheetDataSet>
      <sheetData sheetId="0">
        <row r="18">
          <cell r="P18">
            <v>902.02099999999996</v>
          </cell>
        </row>
        <row r="21">
          <cell r="P21">
            <v>617.72500000000002</v>
          </cell>
        </row>
      </sheetData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Carlos Cacique" id="{325C3752-39D6-4C70-9E5A-434565C7665E}" userId="0b14b037087b9309" providerId="Windows Live"/>
</personList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8" dT="2020-03-14T22:14:37.26" personId="{325C3752-39D6-4C70-9E5A-434565C7665E}" id="{7CD369BE-FB29-4354-BE1C-B28E0B183B83}">
    <text>Costo de Almacenamiento usando Amazon Elastic File System tomando en cuenta que el 20% del total del almacenamiento se realiza mediante un Almacenamiento Standar(más caro) y el 80% restante con Almacenamiento de Acceso Poco Frecuente(más barato)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2:R60"/>
  <sheetViews>
    <sheetView topLeftCell="A40" zoomScale="90" zoomScaleNormal="90" workbookViewId="0">
      <selection activeCell="C73" sqref="C73"/>
    </sheetView>
  </sheetViews>
  <sheetFormatPr baseColWidth="10" defaultColWidth="11.46484375" defaultRowHeight="12.75" x14ac:dyDescent="0.35"/>
  <cols>
    <col min="1" max="1" width="3" customWidth="1"/>
    <col min="2" max="2" width="26.1328125" customWidth="1"/>
    <col min="3" max="3" width="21.46484375" customWidth="1"/>
    <col min="4" max="4" width="14.46484375" customWidth="1"/>
    <col min="5" max="5" width="17.46484375" customWidth="1"/>
    <col min="6" max="6" width="14.86328125" customWidth="1"/>
    <col min="7" max="7" width="9.33203125" customWidth="1"/>
    <col min="8" max="8" width="12" customWidth="1"/>
    <col min="9" max="9" width="11.46484375" customWidth="1"/>
    <col min="257" max="257" width="3" customWidth="1"/>
    <col min="258" max="258" width="23.33203125" customWidth="1"/>
    <col min="259" max="259" width="12" customWidth="1"/>
    <col min="260" max="260" width="13" bestFit="1" customWidth="1"/>
    <col min="263" max="263" width="15.46484375" customWidth="1"/>
    <col min="264" max="264" width="10.6640625" customWidth="1"/>
    <col min="265" max="265" width="12.1328125" customWidth="1"/>
    <col min="513" max="513" width="3" customWidth="1"/>
    <col min="514" max="514" width="23.33203125" customWidth="1"/>
    <col min="515" max="515" width="12" customWidth="1"/>
    <col min="516" max="516" width="13" bestFit="1" customWidth="1"/>
    <col min="519" max="519" width="15.46484375" customWidth="1"/>
    <col min="520" max="520" width="10.6640625" customWidth="1"/>
    <col min="521" max="521" width="12.1328125" customWidth="1"/>
    <col min="769" max="769" width="3" customWidth="1"/>
    <col min="770" max="770" width="23.33203125" customWidth="1"/>
    <col min="771" max="771" width="12" customWidth="1"/>
    <col min="772" max="772" width="13" bestFit="1" customWidth="1"/>
    <col min="775" max="775" width="15.46484375" customWidth="1"/>
    <col min="776" max="776" width="10.6640625" customWidth="1"/>
    <col min="777" max="777" width="12.1328125" customWidth="1"/>
    <col min="1025" max="1025" width="3" customWidth="1"/>
    <col min="1026" max="1026" width="23.33203125" customWidth="1"/>
    <col min="1027" max="1027" width="12" customWidth="1"/>
    <col min="1028" max="1028" width="13" bestFit="1" customWidth="1"/>
    <col min="1031" max="1031" width="15.46484375" customWidth="1"/>
    <col min="1032" max="1032" width="10.6640625" customWidth="1"/>
    <col min="1033" max="1033" width="12.1328125" customWidth="1"/>
    <col min="1281" max="1281" width="3" customWidth="1"/>
    <col min="1282" max="1282" width="23.33203125" customWidth="1"/>
    <col min="1283" max="1283" width="12" customWidth="1"/>
    <col min="1284" max="1284" width="13" bestFit="1" customWidth="1"/>
    <col min="1287" max="1287" width="15.46484375" customWidth="1"/>
    <col min="1288" max="1288" width="10.6640625" customWidth="1"/>
    <col min="1289" max="1289" width="12.1328125" customWidth="1"/>
    <col min="1537" max="1537" width="3" customWidth="1"/>
    <col min="1538" max="1538" width="23.33203125" customWidth="1"/>
    <col min="1539" max="1539" width="12" customWidth="1"/>
    <col min="1540" max="1540" width="13" bestFit="1" customWidth="1"/>
    <col min="1543" max="1543" width="15.46484375" customWidth="1"/>
    <col min="1544" max="1544" width="10.6640625" customWidth="1"/>
    <col min="1545" max="1545" width="12.1328125" customWidth="1"/>
    <col min="1793" max="1793" width="3" customWidth="1"/>
    <col min="1794" max="1794" width="23.33203125" customWidth="1"/>
    <col min="1795" max="1795" width="12" customWidth="1"/>
    <col min="1796" max="1796" width="13" bestFit="1" customWidth="1"/>
    <col min="1799" max="1799" width="15.46484375" customWidth="1"/>
    <col min="1800" max="1800" width="10.6640625" customWidth="1"/>
    <col min="1801" max="1801" width="12.1328125" customWidth="1"/>
    <col min="2049" max="2049" width="3" customWidth="1"/>
    <col min="2050" max="2050" width="23.33203125" customWidth="1"/>
    <col min="2051" max="2051" width="12" customWidth="1"/>
    <col min="2052" max="2052" width="13" bestFit="1" customWidth="1"/>
    <col min="2055" max="2055" width="15.46484375" customWidth="1"/>
    <col min="2056" max="2056" width="10.6640625" customWidth="1"/>
    <col min="2057" max="2057" width="12.1328125" customWidth="1"/>
    <col min="2305" max="2305" width="3" customWidth="1"/>
    <col min="2306" max="2306" width="23.33203125" customWidth="1"/>
    <col min="2307" max="2307" width="12" customWidth="1"/>
    <col min="2308" max="2308" width="13" bestFit="1" customWidth="1"/>
    <col min="2311" max="2311" width="15.46484375" customWidth="1"/>
    <col min="2312" max="2312" width="10.6640625" customWidth="1"/>
    <col min="2313" max="2313" width="12.1328125" customWidth="1"/>
    <col min="2561" max="2561" width="3" customWidth="1"/>
    <col min="2562" max="2562" width="23.33203125" customWidth="1"/>
    <col min="2563" max="2563" width="12" customWidth="1"/>
    <col min="2564" max="2564" width="13" bestFit="1" customWidth="1"/>
    <col min="2567" max="2567" width="15.46484375" customWidth="1"/>
    <col min="2568" max="2568" width="10.6640625" customWidth="1"/>
    <col min="2569" max="2569" width="12.1328125" customWidth="1"/>
    <col min="2817" max="2817" width="3" customWidth="1"/>
    <col min="2818" max="2818" width="23.33203125" customWidth="1"/>
    <col min="2819" max="2819" width="12" customWidth="1"/>
    <col min="2820" max="2820" width="13" bestFit="1" customWidth="1"/>
    <col min="2823" max="2823" width="15.46484375" customWidth="1"/>
    <col min="2824" max="2824" width="10.6640625" customWidth="1"/>
    <col min="2825" max="2825" width="12.1328125" customWidth="1"/>
    <col min="3073" max="3073" width="3" customWidth="1"/>
    <col min="3074" max="3074" width="23.33203125" customWidth="1"/>
    <col min="3075" max="3075" width="12" customWidth="1"/>
    <col min="3076" max="3076" width="13" bestFit="1" customWidth="1"/>
    <col min="3079" max="3079" width="15.46484375" customWidth="1"/>
    <col min="3080" max="3080" width="10.6640625" customWidth="1"/>
    <col min="3081" max="3081" width="12.1328125" customWidth="1"/>
    <col min="3329" max="3329" width="3" customWidth="1"/>
    <col min="3330" max="3330" width="23.33203125" customWidth="1"/>
    <col min="3331" max="3331" width="12" customWidth="1"/>
    <col min="3332" max="3332" width="13" bestFit="1" customWidth="1"/>
    <col min="3335" max="3335" width="15.46484375" customWidth="1"/>
    <col min="3336" max="3336" width="10.6640625" customWidth="1"/>
    <col min="3337" max="3337" width="12.1328125" customWidth="1"/>
    <col min="3585" max="3585" width="3" customWidth="1"/>
    <col min="3586" max="3586" width="23.33203125" customWidth="1"/>
    <col min="3587" max="3587" width="12" customWidth="1"/>
    <col min="3588" max="3588" width="13" bestFit="1" customWidth="1"/>
    <col min="3591" max="3591" width="15.46484375" customWidth="1"/>
    <col min="3592" max="3592" width="10.6640625" customWidth="1"/>
    <col min="3593" max="3593" width="12.1328125" customWidth="1"/>
    <col min="3841" max="3841" width="3" customWidth="1"/>
    <col min="3842" max="3842" width="23.33203125" customWidth="1"/>
    <col min="3843" max="3843" width="12" customWidth="1"/>
    <col min="3844" max="3844" width="13" bestFit="1" customWidth="1"/>
    <col min="3847" max="3847" width="15.46484375" customWidth="1"/>
    <col min="3848" max="3848" width="10.6640625" customWidth="1"/>
    <col min="3849" max="3849" width="12.1328125" customWidth="1"/>
    <col min="4097" max="4097" width="3" customWidth="1"/>
    <col min="4098" max="4098" width="23.33203125" customWidth="1"/>
    <col min="4099" max="4099" width="12" customWidth="1"/>
    <col min="4100" max="4100" width="13" bestFit="1" customWidth="1"/>
    <col min="4103" max="4103" width="15.46484375" customWidth="1"/>
    <col min="4104" max="4104" width="10.6640625" customWidth="1"/>
    <col min="4105" max="4105" width="12.1328125" customWidth="1"/>
    <col min="4353" max="4353" width="3" customWidth="1"/>
    <col min="4354" max="4354" width="23.33203125" customWidth="1"/>
    <col min="4355" max="4355" width="12" customWidth="1"/>
    <col min="4356" max="4356" width="13" bestFit="1" customWidth="1"/>
    <col min="4359" max="4359" width="15.46484375" customWidth="1"/>
    <col min="4360" max="4360" width="10.6640625" customWidth="1"/>
    <col min="4361" max="4361" width="12.1328125" customWidth="1"/>
    <col min="4609" max="4609" width="3" customWidth="1"/>
    <col min="4610" max="4610" width="23.33203125" customWidth="1"/>
    <col min="4611" max="4611" width="12" customWidth="1"/>
    <col min="4612" max="4612" width="13" bestFit="1" customWidth="1"/>
    <col min="4615" max="4615" width="15.46484375" customWidth="1"/>
    <col min="4616" max="4616" width="10.6640625" customWidth="1"/>
    <col min="4617" max="4617" width="12.1328125" customWidth="1"/>
    <col min="4865" max="4865" width="3" customWidth="1"/>
    <col min="4866" max="4866" width="23.33203125" customWidth="1"/>
    <col min="4867" max="4867" width="12" customWidth="1"/>
    <col min="4868" max="4868" width="13" bestFit="1" customWidth="1"/>
    <col min="4871" max="4871" width="15.46484375" customWidth="1"/>
    <col min="4872" max="4872" width="10.6640625" customWidth="1"/>
    <col min="4873" max="4873" width="12.1328125" customWidth="1"/>
    <col min="5121" max="5121" width="3" customWidth="1"/>
    <col min="5122" max="5122" width="23.33203125" customWidth="1"/>
    <col min="5123" max="5123" width="12" customWidth="1"/>
    <col min="5124" max="5124" width="13" bestFit="1" customWidth="1"/>
    <col min="5127" max="5127" width="15.46484375" customWidth="1"/>
    <col min="5128" max="5128" width="10.6640625" customWidth="1"/>
    <col min="5129" max="5129" width="12.1328125" customWidth="1"/>
    <col min="5377" max="5377" width="3" customWidth="1"/>
    <col min="5378" max="5378" width="23.33203125" customWidth="1"/>
    <col min="5379" max="5379" width="12" customWidth="1"/>
    <col min="5380" max="5380" width="13" bestFit="1" customWidth="1"/>
    <col min="5383" max="5383" width="15.46484375" customWidth="1"/>
    <col min="5384" max="5384" width="10.6640625" customWidth="1"/>
    <col min="5385" max="5385" width="12.1328125" customWidth="1"/>
    <col min="5633" max="5633" width="3" customWidth="1"/>
    <col min="5634" max="5634" width="23.33203125" customWidth="1"/>
    <col min="5635" max="5635" width="12" customWidth="1"/>
    <col min="5636" max="5636" width="13" bestFit="1" customWidth="1"/>
    <col min="5639" max="5639" width="15.46484375" customWidth="1"/>
    <col min="5640" max="5640" width="10.6640625" customWidth="1"/>
    <col min="5641" max="5641" width="12.1328125" customWidth="1"/>
    <col min="5889" max="5889" width="3" customWidth="1"/>
    <col min="5890" max="5890" width="23.33203125" customWidth="1"/>
    <col min="5891" max="5891" width="12" customWidth="1"/>
    <col min="5892" max="5892" width="13" bestFit="1" customWidth="1"/>
    <col min="5895" max="5895" width="15.46484375" customWidth="1"/>
    <col min="5896" max="5896" width="10.6640625" customWidth="1"/>
    <col min="5897" max="5897" width="12.1328125" customWidth="1"/>
    <col min="6145" max="6145" width="3" customWidth="1"/>
    <col min="6146" max="6146" width="23.33203125" customWidth="1"/>
    <col min="6147" max="6147" width="12" customWidth="1"/>
    <col min="6148" max="6148" width="13" bestFit="1" customWidth="1"/>
    <col min="6151" max="6151" width="15.46484375" customWidth="1"/>
    <col min="6152" max="6152" width="10.6640625" customWidth="1"/>
    <col min="6153" max="6153" width="12.1328125" customWidth="1"/>
    <col min="6401" max="6401" width="3" customWidth="1"/>
    <col min="6402" max="6402" width="23.33203125" customWidth="1"/>
    <col min="6403" max="6403" width="12" customWidth="1"/>
    <col min="6404" max="6404" width="13" bestFit="1" customWidth="1"/>
    <col min="6407" max="6407" width="15.46484375" customWidth="1"/>
    <col min="6408" max="6408" width="10.6640625" customWidth="1"/>
    <col min="6409" max="6409" width="12.1328125" customWidth="1"/>
    <col min="6657" max="6657" width="3" customWidth="1"/>
    <col min="6658" max="6658" width="23.33203125" customWidth="1"/>
    <col min="6659" max="6659" width="12" customWidth="1"/>
    <col min="6660" max="6660" width="13" bestFit="1" customWidth="1"/>
    <col min="6663" max="6663" width="15.46484375" customWidth="1"/>
    <col min="6664" max="6664" width="10.6640625" customWidth="1"/>
    <col min="6665" max="6665" width="12.1328125" customWidth="1"/>
    <col min="6913" max="6913" width="3" customWidth="1"/>
    <col min="6914" max="6914" width="23.33203125" customWidth="1"/>
    <col min="6915" max="6915" width="12" customWidth="1"/>
    <col min="6916" max="6916" width="13" bestFit="1" customWidth="1"/>
    <col min="6919" max="6919" width="15.46484375" customWidth="1"/>
    <col min="6920" max="6920" width="10.6640625" customWidth="1"/>
    <col min="6921" max="6921" width="12.1328125" customWidth="1"/>
    <col min="7169" max="7169" width="3" customWidth="1"/>
    <col min="7170" max="7170" width="23.33203125" customWidth="1"/>
    <col min="7171" max="7171" width="12" customWidth="1"/>
    <col min="7172" max="7172" width="13" bestFit="1" customWidth="1"/>
    <col min="7175" max="7175" width="15.46484375" customWidth="1"/>
    <col min="7176" max="7176" width="10.6640625" customWidth="1"/>
    <col min="7177" max="7177" width="12.1328125" customWidth="1"/>
    <col min="7425" max="7425" width="3" customWidth="1"/>
    <col min="7426" max="7426" width="23.33203125" customWidth="1"/>
    <col min="7427" max="7427" width="12" customWidth="1"/>
    <col min="7428" max="7428" width="13" bestFit="1" customWidth="1"/>
    <col min="7431" max="7431" width="15.46484375" customWidth="1"/>
    <col min="7432" max="7432" width="10.6640625" customWidth="1"/>
    <col min="7433" max="7433" width="12.1328125" customWidth="1"/>
    <col min="7681" max="7681" width="3" customWidth="1"/>
    <col min="7682" max="7682" width="23.33203125" customWidth="1"/>
    <col min="7683" max="7683" width="12" customWidth="1"/>
    <col min="7684" max="7684" width="13" bestFit="1" customWidth="1"/>
    <col min="7687" max="7687" width="15.46484375" customWidth="1"/>
    <col min="7688" max="7688" width="10.6640625" customWidth="1"/>
    <col min="7689" max="7689" width="12.1328125" customWidth="1"/>
    <col min="7937" max="7937" width="3" customWidth="1"/>
    <col min="7938" max="7938" width="23.33203125" customWidth="1"/>
    <col min="7939" max="7939" width="12" customWidth="1"/>
    <col min="7940" max="7940" width="13" bestFit="1" customWidth="1"/>
    <col min="7943" max="7943" width="15.46484375" customWidth="1"/>
    <col min="7944" max="7944" width="10.6640625" customWidth="1"/>
    <col min="7945" max="7945" width="12.1328125" customWidth="1"/>
    <col min="8193" max="8193" width="3" customWidth="1"/>
    <col min="8194" max="8194" width="23.33203125" customWidth="1"/>
    <col min="8195" max="8195" width="12" customWidth="1"/>
    <col min="8196" max="8196" width="13" bestFit="1" customWidth="1"/>
    <col min="8199" max="8199" width="15.46484375" customWidth="1"/>
    <col min="8200" max="8200" width="10.6640625" customWidth="1"/>
    <col min="8201" max="8201" width="12.1328125" customWidth="1"/>
    <col min="8449" max="8449" width="3" customWidth="1"/>
    <col min="8450" max="8450" width="23.33203125" customWidth="1"/>
    <col min="8451" max="8451" width="12" customWidth="1"/>
    <col min="8452" max="8452" width="13" bestFit="1" customWidth="1"/>
    <col min="8455" max="8455" width="15.46484375" customWidth="1"/>
    <col min="8456" max="8456" width="10.6640625" customWidth="1"/>
    <col min="8457" max="8457" width="12.1328125" customWidth="1"/>
    <col min="8705" max="8705" width="3" customWidth="1"/>
    <col min="8706" max="8706" width="23.33203125" customWidth="1"/>
    <col min="8707" max="8707" width="12" customWidth="1"/>
    <col min="8708" max="8708" width="13" bestFit="1" customWidth="1"/>
    <col min="8711" max="8711" width="15.46484375" customWidth="1"/>
    <col min="8712" max="8712" width="10.6640625" customWidth="1"/>
    <col min="8713" max="8713" width="12.1328125" customWidth="1"/>
    <col min="8961" max="8961" width="3" customWidth="1"/>
    <col min="8962" max="8962" width="23.33203125" customWidth="1"/>
    <col min="8963" max="8963" width="12" customWidth="1"/>
    <col min="8964" max="8964" width="13" bestFit="1" customWidth="1"/>
    <col min="8967" max="8967" width="15.46484375" customWidth="1"/>
    <col min="8968" max="8968" width="10.6640625" customWidth="1"/>
    <col min="8969" max="8969" width="12.1328125" customWidth="1"/>
    <col min="9217" max="9217" width="3" customWidth="1"/>
    <col min="9218" max="9218" width="23.33203125" customWidth="1"/>
    <col min="9219" max="9219" width="12" customWidth="1"/>
    <col min="9220" max="9220" width="13" bestFit="1" customWidth="1"/>
    <col min="9223" max="9223" width="15.46484375" customWidth="1"/>
    <col min="9224" max="9224" width="10.6640625" customWidth="1"/>
    <col min="9225" max="9225" width="12.1328125" customWidth="1"/>
    <col min="9473" max="9473" width="3" customWidth="1"/>
    <col min="9474" max="9474" width="23.33203125" customWidth="1"/>
    <col min="9475" max="9475" width="12" customWidth="1"/>
    <col min="9476" max="9476" width="13" bestFit="1" customWidth="1"/>
    <col min="9479" max="9479" width="15.46484375" customWidth="1"/>
    <col min="9480" max="9480" width="10.6640625" customWidth="1"/>
    <col min="9481" max="9481" width="12.1328125" customWidth="1"/>
    <col min="9729" max="9729" width="3" customWidth="1"/>
    <col min="9730" max="9730" width="23.33203125" customWidth="1"/>
    <col min="9731" max="9731" width="12" customWidth="1"/>
    <col min="9732" max="9732" width="13" bestFit="1" customWidth="1"/>
    <col min="9735" max="9735" width="15.46484375" customWidth="1"/>
    <col min="9736" max="9736" width="10.6640625" customWidth="1"/>
    <col min="9737" max="9737" width="12.1328125" customWidth="1"/>
    <col min="9985" max="9985" width="3" customWidth="1"/>
    <col min="9986" max="9986" width="23.33203125" customWidth="1"/>
    <col min="9987" max="9987" width="12" customWidth="1"/>
    <col min="9988" max="9988" width="13" bestFit="1" customWidth="1"/>
    <col min="9991" max="9991" width="15.46484375" customWidth="1"/>
    <col min="9992" max="9992" width="10.6640625" customWidth="1"/>
    <col min="9993" max="9993" width="12.1328125" customWidth="1"/>
    <col min="10241" max="10241" width="3" customWidth="1"/>
    <col min="10242" max="10242" width="23.33203125" customWidth="1"/>
    <col min="10243" max="10243" width="12" customWidth="1"/>
    <col min="10244" max="10244" width="13" bestFit="1" customWidth="1"/>
    <col min="10247" max="10247" width="15.46484375" customWidth="1"/>
    <col min="10248" max="10248" width="10.6640625" customWidth="1"/>
    <col min="10249" max="10249" width="12.1328125" customWidth="1"/>
    <col min="10497" max="10497" width="3" customWidth="1"/>
    <col min="10498" max="10498" width="23.33203125" customWidth="1"/>
    <col min="10499" max="10499" width="12" customWidth="1"/>
    <col min="10500" max="10500" width="13" bestFit="1" customWidth="1"/>
    <col min="10503" max="10503" width="15.46484375" customWidth="1"/>
    <col min="10504" max="10504" width="10.6640625" customWidth="1"/>
    <col min="10505" max="10505" width="12.1328125" customWidth="1"/>
    <col min="10753" max="10753" width="3" customWidth="1"/>
    <col min="10754" max="10754" width="23.33203125" customWidth="1"/>
    <col min="10755" max="10755" width="12" customWidth="1"/>
    <col min="10756" max="10756" width="13" bestFit="1" customWidth="1"/>
    <col min="10759" max="10759" width="15.46484375" customWidth="1"/>
    <col min="10760" max="10760" width="10.6640625" customWidth="1"/>
    <col min="10761" max="10761" width="12.1328125" customWidth="1"/>
    <col min="11009" max="11009" width="3" customWidth="1"/>
    <col min="11010" max="11010" width="23.33203125" customWidth="1"/>
    <col min="11011" max="11011" width="12" customWidth="1"/>
    <col min="11012" max="11012" width="13" bestFit="1" customWidth="1"/>
    <col min="11015" max="11015" width="15.46484375" customWidth="1"/>
    <col min="11016" max="11016" width="10.6640625" customWidth="1"/>
    <col min="11017" max="11017" width="12.1328125" customWidth="1"/>
    <col min="11265" max="11265" width="3" customWidth="1"/>
    <col min="11266" max="11266" width="23.33203125" customWidth="1"/>
    <col min="11267" max="11267" width="12" customWidth="1"/>
    <col min="11268" max="11268" width="13" bestFit="1" customWidth="1"/>
    <col min="11271" max="11271" width="15.46484375" customWidth="1"/>
    <col min="11272" max="11272" width="10.6640625" customWidth="1"/>
    <col min="11273" max="11273" width="12.1328125" customWidth="1"/>
    <col min="11521" max="11521" width="3" customWidth="1"/>
    <col min="11522" max="11522" width="23.33203125" customWidth="1"/>
    <col min="11523" max="11523" width="12" customWidth="1"/>
    <col min="11524" max="11524" width="13" bestFit="1" customWidth="1"/>
    <col min="11527" max="11527" width="15.46484375" customWidth="1"/>
    <col min="11528" max="11528" width="10.6640625" customWidth="1"/>
    <col min="11529" max="11529" width="12.1328125" customWidth="1"/>
    <col min="11777" max="11777" width="3" customWidth="1"/>
    <col min="11778" max="11778" width="23.33203125" customWidth="1"/>
    <col min="11779" max="11779" width="12" customWidth="1"/>
    <col min="11780" max="11780" width="13" bestFit="1" customWidth="1"/>
    <col min="11783" max="11783" width="15.46484375" customWidth="1"/>
    <col min="11784" max="11784" width="10.6640625" customWidth="1"/>
    <col min="11785" max="11785" width="12.1328125" customWidth="1"/>
    <col min="12033" max="12033" width="3" customWidth="1"/>
    <col min="12034" max="12034" width="23.33203125" customWidth="1"/>
    <col min="12035" max="12035" width="12" customWidth="1"/>
    <col min="12036" max="12036" width="13" bestFit="1" customWidth="1"/>
    <col min="12039" max="12039" width="15.46484375" customWidth="1"/>
    <col min="12040" max="12040" width="10.6640625" customWidth="1"/>
    <col min="12041" max="12041" width="12.1328125" customWidth="1"/>
    <col min="12289" max="12289" width="3" customWidth="1"/>
    <col min="12290" max="12290" width="23.33203125" customWidth="1"/>
    <col min="12291" max="12291" width="12" customWidth="1"/>
    <col min="12292" max="12292" width="13" bestFit="1" customWidth="1"/>
    <col min="12295" max="12295" width="15.46484375" customWidth="1"/>
    <col min="12296" max="12296" width="10.6640625" customWidth="1"/>
    <col min="12297" max="12297" width="12.1328125" customWidth="1"/>
    <col min="12545" max="12545" width="3" customWidth="1"/>
    <col min="12546" max="12546" width="23.33203125" customWidth="1"/>
    <col min="12547" max="12547" width="12" customWidth="1"/>
    <col min="12548" max="12548" width="13" bestFit="1" customWidth="1"/>
    <col min="12551" max="12551" width="15.46484375" customWidth="1"/>
    <col min="12552" max="12552" width="10.6640625" customWidth="1"/>
    <col min="12553" max="12553" width="12.1328125" customWidth="1"/>
    <col min="12801" max="12801" width="3" customWidth="1"/>
    <col min="12802" max="12802" width="23.33203125" customWidth="1"/>
    <col min="12803" max="12803" width="12" customWidth="1"/>
    <col min="12804" max="12804" width="13" bestFit="1" customWidth="1"/>
    <col min="12807" max="12807" width="15.46484375" customWidth="1"/>
    <col min="12808" max="12808" width="10.6640625" customWidth="1"/>
    <col min="12809" max="12809" width="12.1328125" customWidth="1"/>
    <col min="13057" max="13057" width="3" customWidth="1"/>
    <col min="13058" max="13058" width="23.33203125" customWidth="1"/>
    <col min="13059" max="13059" width="12" customWidth="1"/>
    <col min="13060" max="13060" width="13" bestFit="1" customWidth="1"/>
    <col min="13063" max="13063" width="15.46484375" customWidth="1"/>
    <col min="13064" max="13064" width="10.6640625" customWidth="1"/>
    <col min="13065" max="13065" width="12.1328125" customWidth="1"/>
    <col min="13313" max="13313" width="3" customWidth="1"/>
    <col min="13314" max="13314" width="23.33203125" customWidth="1"/>
    <col min="13315" max="13315" width="12" customWidth="1"/>
    <col min="13316" max="13316" width="13" bestFit="1" customWidth="1"/>
    <col min="13319" max="13319" width="15.46484375" customWidth="1"/>
    <col min="13320" max="13320" width="10.6640625" customWidth="1"/>
    <col min="13321" max="13321" width="12.1328125" customWidth="1"/>
    <col min="13569" max="13569" width="3" customWidth="1"/>
    <col min="13570" max="13570" width="23.33203125" customWidth="1"/>
    <col min="13571" max="13571" width="12" customWidth="1"/>
    <col min="13572" max="13572" width="13" bestFit="1" customWidth="1"/>
    <col min="13575" max="13575" width="15.46484375" customWidth="1"/>
    <col min="13576" max="13576" width="10.6640625" customWidth="1"/>
    <col min="13577" max="13577" width="12.1328125" customWidth="1"/>
    <col min="13825" max="13825" width="3" customWidth="1"/>
    <col min="13826" max="13826" width="23.33203125" customWidth="1"/>
    <col min="13827" max="13827" width="12" customWidth="1"/>
    <col min="13828" max="13828" width="13" bestFit="1" customWidth="1"/>
    <col min="13831" max="13831" width="15.46484375" customWidth="1"/>
    <col min="13832" max="13832" width="10.6640625" customWidth="1"/>
    <col min="13833" max="13833" width="12.1328125" customWidth="1"/>
    <col min="14081" max="14081" width="3" customWidth="1"/>
    <col min="14082" max="14082" width="23.33203125" customWidth="1"/>
    <col min="14083" max="14083" width="12" customWidth="1"/>
    <col min="14084" max="14084" width="13" bestFit="1" customWidth="1"/>
    <col min="14087" max="14087" width="15.46484375" customWidth="1"/>
    <col min="14088" max="14088" width="10.6640625" customWidth="1"/>
    <col min="14089" max="14089" width="12.1328125" customWidth="1"/>
    <col min="14337" max="14337" width="3" customWidth="1"/>
    <col min="14338" max="14338" width="23.33203125" customWidth="1"/>
    <col min="14339" max="14339" width="12" customWidth="1"/>
    <col min="14340" max="14340" width="13" bestFit="1" customWidth="1"/>
    <col min="14343" max="14343" width="15.46484375" customWidth="1"/>
    <col min="14344" max="14344" width="10.6640625" customWidth="1"/>
    <col min="14345" max="14345" width="12.1328125" customWidth="1"/>
    <col min="14593" max="14593" width="3" customWidth="1"/>
    <col min="14594" max="14594" width="23.33203125" customWidth="1"/>
    <col min="14595" max="14595" width="12" customWidth="1"/>
    <col min="14596" max="14596" width="13" bestFit="1" customWidth="1"/>
    <col min="14599" max="14599" width="15.46484375" customWidth="1"/>
    <col min="14600" max="14600" width="10.6640625" customWidth="1"/>
    <col min="14601" max="14601" width="12.1328125" customWidth="1"/>
    <col min="14849" max="14849" width="3" customWidth="1"/>
    <col min="14850" max="14850" width="23.33203125" customWidth="1"/>
    <col min="14851" max="14851" width="12" customWidth="1"/>
    <col min="14852" max="14852" width="13" bestFit="1" customWidth="1"/>
    <col min="14855" max="14855" width="15.46484375" customWidth="1"/>
    <col min="14856" max="14856" width="10.6640625" customWidth="1"/>
    <col min="14857" max="14857" width="12.1328125" customWidth="1"/>
    <col min="15105" max="15105" width="3" customWidth="1"/>
    <col min="15106" max="15106" width="23.33203125" customWidth="1"/>
    <col min="15107" max="15107" width="12" customWidth="1"/>
    <col min="15108" max="15108" width="13" bestFit="1" customWidth="1"/>
    <col min="15111" max="15111" width="15.46484375" customWidth="1"/>
    <col min="15112" max="15112" width="10.6640625" customWidth="1"/>
    <col min="15113" max="15113" width="12.1328125" customWidth="1"/>
    <col min="15361" max="15361" width="3" customWidth="1"/>
    <col min="15362" max="15362" width="23.33203125" customWidth="1"/>
    <col min="15363" max="15363" width="12" customWidth="1"/>
    <col min="15364" max="15364" width="13" bestFit="1" customWidth="1"/>
    <col min="15367" max="15367" width="15.46484375" customWidth="1"/>
    <col min="15368" max="15368" width="10.6640625" customWidth="1"/>
    <col min="15369" max="15369" width="12.1328125" customWidth="1"/>
    <col min="15617" max="15617" width="3" customWidth="1"/>
    <col min="15618" max="15618" width="23.33203125" customWidth="1"/>
    <col min="15619" max="15619" width="12" customWidth="1"/>
    <col min="15620" max="15620" width="13" bestFit="1" customWidth="1"/>
    <col min="15623" max="15623" width="15.46484375" customWidth="1"/>
    <col min="15624" max="15624" width="10.6640625" customWidth="1"/>
    <col min="15625" max="15625" width="12.1328125" customWidth="1"/>
    <col min="15873" max="15873" width="3" customWidth="1"/>
    <col min="15874" max="15874" width="23.33203125" customWidth="1"/>
    <col min="15875" max="15875" width="12" customWidth="1"/>
    <col min="15876" max="15876" width="13" bestFit="1" customWidth="1"/>
    <col min="15879" max="15879" width="15.46484375" customWidth="1"/>
    <col min="15880" max="15880" width="10.6640625" customWidth="1"/>
    <col min="15881" max="15881" width="12.1328125" customWidth="1"/>
    <col min="16129" max="16129" width="3" customWidth="1"/>
    <col min="16130" max="16130" width="23.33203125" customWidth="1"/>
    <col min="16131" max="16131" width="12" customWidth="1"/>
    <col min="16132" max="16132" width="13" bestFit="1" customWidth="1"/>
    <col min="16135" max="16135" width="15.46484375" customWidth="1"/>
    <col min="16136" max="16136" width="10.6640625" customWidth="1"/>
    <col min="16137" max="16137" width="12.1328125" customWidth="1"/>
  </cols>
  <sheetData>
    <row r="2" spans="2:9" ht="20.25" customHeight="1" x14ac:dyDescent="0.35">
      <c r="B2" s="228"/>
      <c r="C2" s="329"/>
      <c r="D2" s="330"/>
    </row>
    <row r="3" spans="2:9" ht="15" x14ac:dyDescent="0.4">
      <c r="B3" s="76"/>
      <c r="C3" s="211"/>
    </row>
    <row r="4" spans="2:9" ht="17.100000000000001" customHeight="1" x14ac:dyDescent="0.4">
      <c r="B4" s="322"/>
      <c r="C4" s="211"/>
    </row>
    <row r="5" spans="2:9" ht="17.100000000000001" customHeight="1" x14ac:dyDescent="0.4">
      <c r="B5" s="322"/>
      <c r="C5" s="211"/>
    </row>
    <row r="6" spans="2:9" ht="17.100000000000001" customHeight="1" x14ac:dyDescent="0.4">
      <c r="B6" s="322"/>
      <c r="F6" s="203"/>
      <c r="G6" s="204"/>
    </row>
    <row r="7" spans="2:9" ht="17.100000000000001" customHeight="1" x14ac:dyDescent="0.4">
      <c r="B7" s="322"/>
      <c r="E7" s="204"/>
      <c r="F7" s="203"/>
      <c r="G7" s="204"/>
    </row>
    <row r="8" spans="2:9" ht="17.100000000000001" customHeight="1" x14ac:dyDescent="0.4">
      <c r="B8" s="322"/>
      <c r="E8" s="204"/>
      <c r="F8" s="203"/>
      <c r="G8" s="204"/>
    </row>
    <row r="9" spans="2:9" ht="17.100000000000001" customHeight="1" x14ac:dyDescent="0.4">
      <c r="B9" s="322"/>
      <c r="E9" s="204"/>
      <c r="F9" s="205"/>
    </row>
    <row r="10" spans="2:9" ht="17.100000000000001" customHeight="1" x14ac:dyDescent="0.4">
      <c r="B10" s="322"/>
      <c r="E10" s="204"/>
      <c r="F10" s="205"/>
    </row>
    <row r="11" spans="2:9" ht="9.75" customHeight="1" x14ac:dyDescent="0.4">
      <c r="B11" s="322"/>
      <c r="E11" s="204"/>
      <c r="F11" s="205"/>
    </row>
    <row r="12" spans="2:9" ht="17.100000000000001" customHeight="1" x14ac:dyDescent="0.4">
      <c r="B12" s="322" t="s">
        <v>0</v>
      </c>
      <c r="E12" s="204"/>
      <c r="F12" s="205"/>
    </row>
    <row r="13" spans="2:9" ht="17.100000000000001" customHeight="1" x14ac:dyDescent="0.35">
      <c r="E13" s="204"/>
      <c r="F13" s="205"/>
    </row>
    <row r="14" spans="2:9" ht="17.100000000000001" customHeight="1" x14ac:dyDescent="0.4">
      <c r="B14" s="162" t="s">
        <v>1</v>
      </c>
      <c r="D14" s="181"/>
      <c r="E14" s="181"/>
      <c r="F14" s="181"/>
      <c r="G14" s="181"/>
      <c r="H14" s="181"/>
      <c r="I14" s="181"/>
    </row>
    <row r="15" spans="2:9" ht="17.100000000000001" customHeight="1" x14ac:dyDescent="0.4">
      <c r="B15" s="76" t="s">
        <v>2</v>
      </c>
      <c r="E15" s="203"/>
      <c r="F15" s="203"/>
      <c r="G15" s="203"/>
      <c r="H15" s="203"/>
      <c r="I15" s="203"/>
    </row>
    <row r="16" spans="2:9" ht="17.100000000000001" customHeight="1" x14ac:dyDescent="0.4">
      <c r="B16" s="76" t="s">
        <v>3</v>
      </c>
      <c r="E16" s="203"/>
      <c r="F16" s="203"/>
      <c r="G16" s="203"/>
      <c r="H16" s="203"/>
      <c r="I16" s="203"/>
    </row>
    <row r="17" spans="2:18" ht="17.100000000000001" customHeight="1" x14ac:dyDescent="0.4">
      <c r="B17" s="77" t="s">
        <v>4</v>
      </c>
      <c r="D17" s="502">
        <v>2.0400000000000001E-2</v>
      </c>
      <c r="E17" s="81"/>
      <c r="F17" s="81"/>
      <c r="G17" s="81"/>
      <c r="H17" s="81"/>
      <c r="I17" s="81"/>
    </row>
    <row r="18" spans="2:18" ht="17.100000000000001" customHeight="1" x14ac:dyDescent="0.35">
      <c r="B18" s="271" t="s">
        <v>5</v>
      </c>
      <c r="D18" s="80">
        <v>9.2999999999999999E-2</v>
      </c>
    </row>
    <row r="19" spans="2:18" ht="17.100000000000001" customHeight="1" x14ac:dyDescent="0.4">
      <c r="B19" s="77" t="s">
        <v>6</v>
      </c>
      <c r="C19" s="272"/>
      <c r="D19" s="82">
        <v>0.15</v>
      </c>
    </row>
    <row r="20" spans="2:18" ht="17.100000000000001" customHeight="1" x14ac:dyDescent="0.35">
      <c r="D20" s="82"/>
    </row>
    <row r="21" spans="2:18" ht="17.100000000000001" customHeight="1" x14ac:dyDescent="0.4">
      <c r="B21" s="221" t="s">
        <v>7</v>
      </c>
      <c r="C21" s="225">
        <f>+D18+D19</f>
        <v>0.24299999999999999</v>
      </c>
      <c r="D21" s="80"/>
    </row>
    <row r="22" spans="2:18" ht="13.15" x14ac:dyDescent="0.4">
      <c r="B22" s="221"/>
      <c r="C22" s="222"/>
      <c r="D22" s="80"/>
    </row>
    <row r="23" spans="2:18" ht="19.5" customHeight="1" x14ac:dyDescent="0.35">
      <c r="B23" s="227" t="s">
        <v>8</v>
      </c>
      <c r="C23" s="223"/>
      <c r="D23" s="226">
        <f>+D17+C21+(D17*C21)</f>
        <v>0.26835719999999996</v>
      </c>
      <c r="H23" s="224" t="s">
        <v>9</v>
      </c>
      <c r="I23" s="223"/>
      <c r="J23" s="223"/>
      <c r="K23" s="223"/>
      <c r="L23" s="223"/>
      <c r="M23" s="223"/>
      <c r="N23" s="223"/>
      <c r="O23" s="223"/>
      <c r="P23" s="223"/>
      <c r="Q23" s="223"/>
      <c r="R23" s="223"/>
    </row>
    <row r="24" spans="2:18" ht="17.25" customHeight="1" x14ac:dyDescent="0.35">
      <c r="B24" s="227" t="s">
        <v>10</v>
      </c>
      <c r="D24" s="82"/>
      <c r="F24" s="204"/>
      <c r="H24" s="224" t="s">
        <v>11</v>
      </c>
      <c r="I24" s="204"/>
    </row>
    <row r="25" spans="2:18" ht="13.15" x14ac:dyDescent="0.4">
      <c r="D25" s="82"/>
      <c r="F25" s="205"/>
      <c r="H25" s="206" t="s">
        <v>12</v>
      </c>
      <c r="I25" s="205"/>
      <c r="J25" s="206"/>
      <c r="K25" s="207"/>
    </row>
    <row r="26" spans="2:18" ht="17.100000000000001" customHeight="1" x14ac:dyDescent="0.4">
      <c r="B26" s="76" t="s">
        <v>13</v>
      </c>
      <c r="D26" s="82"/>
      <c r="E26" s="205"/>
      <c r="F26" s="205"/>
      <c r="G26" s="205"/>
      <c r="H26" s="206"/>
      <c r="I26" s="207"/>
    </row>
    <row r="27" spans="2:18" ht="17.100000000000001" customHeight="1" x14ac:dyDescent="0.4">
      <c r="B27" s="76" t="s">
        <v>14</v>
      </c>
      <c r="D27" s="82"/>
      <c r="E27" s="205"/>
      <c r="F27" s="205"/>
      <c r="G27" s="205"/>
      <c r="H27" s="206"/>
      <c r="I27" s="207"/>
      <c r="J27" s="204"/>
    </row>
    <row r="28" spans="2:18" ht="17.100000000000001" customHeight="1" x14ac:dyDescent="0.4">
      <c r="B28" s="76" t="s">
        <v>15</v>
      </c>
      <c r="F28" s="205"/>
      <c r="G28" s="205"/>
      <c r="J28" s="204"/>
    </row>
    <row r="29" spans="2:18" ht="17.100000000000001" customHeight="1" x14ac:dyDescent="0.4">
      <c r="B29" s="76" t="s">
        <v>16</v>
      </c>
      <c r="D29" s="82"/>
      <c r="E29" s="205"/>
      <c r="F29" s="205"/>
      <c r="G29" s="205"/>
      <c r="H29" s="206"/>
      <c r="I29" s="207"/>
    </row>
    <row r="30" spans="2:18" ht="17.100000000000001" customHeight="1" x14ac:dyDescent="0.4">
      <c r="B30" s="76"/>
      <c r="D30" s="82"/>
      <c r="E30" s="205"/>
      <c r="F30" s="205"/>
      <c r="G30" s="205"/>
      <c r="H30" s="206"/>
      <c r="I30" s="207"/>
    </row>
    <row r="31" spans="2:18" ht="17.100000000000001" customHeight="1" x14ac:dyDescent="0.4">
      <c r="H31" s="206" t="s">
        <v>17</v>
      </c>
      <c r="I31" s="207"/>
    </row>
    <row r="32" spans="2:18" ht="17.100000000000001" customHeight="1" x14ac:dyDescent="0.4">
      <c r="H32" s="206" t="s">
        <v>18</v>
      </c>
      <c r="I32" s="207"/>
    </row>
    <row r="33" spans="2:10" ht="17.100000000000001" customHeight="1" x14ac:dyDescent="0.4">
      <c r="B33" s="76"/>
      <c r="D33" s="82"/>
      <c r="E33" s="205"/>
      <c r="F33" s="205"/>
      <c r="G33" s="205"/>
      <c r="H33" s="206"/>
      <c r="I33" s="207"/>
    </row>
    <row r="34" spans="2:10" ht="17.100000000000001" customHeight="1" x14ac:dyDescent="0.4">
      <c r="B34" s="76"/>
      <c r="D34" s="82"/>
      <c r="E34" s="205"/>
      <c r="F34" s="205"/>
      <c r="G34" s="205"/>
      <c r="H34" s="206"/>
      <c r="I34" s="207"/>
    </row>
    <row r="35" spans="2:10" ht="17.100000000000001" customHeight="1" x14ac:dyDescent="0.4">
      <c r="B35" s="207"/>
      <c r="E35" s="208"/>
      <c r="F35" s="208"/>
      <c r="G35" s="209"/>
      <c r="H35" s="209"/>
      <c r="I35" s="209"/>
    </row>
    <row r="36" spans="2:10" ht="17.100000000000001" customHeight="1" x14ac:dyDescent="0.4">
      <c r="B36" s="207"/>
      <c r="E36" s="208"/>
      <c r="F36" s="208"/>
      <c r="G36" s="209"/>
      <c r="H36" s="209"/>
      <c r="I36" s="209"/>
    </row>
    <row r="37" spans="2:10" ht="17.100000000000001" customHeight="1" x14ac:dyDescent="0.4">
      <c r="B37" s="162" t="s">
        <v>19</v>
      </c>
      <c r="E37" s="208"/>
      <c r="F37" s="208"/>
      <c r="G37" s="209"/>
      <c r="H37" s="209"/>
      <c r="I37" s="209"/>
    </row>
    <row r="38" spans="2:10" ht="17.100000000000001" customHeight="1" x14ac:dyDescent="0.4">
      <c r="B38" s="273" t="s">
        <v>20</v>
      </c>
      <c r="E38" s="205"/>
      <c r="F38" s="205"/>
      <c r="G38" s="205"/>
      <c r="H38" s="205"/>
      <c r="I38" s="205"/>
      <c r="J38" s="206"/>
    </row>
    <row r="39" spans="2:10" ht="17.100000000000001" customHeight="1" x14ac:dyDescent="0.4">
      <c r="B39" s="273" t="s">
        <v>21</v>
      </c>
      <c r="F39" s="205"/>
      <c r="G39" s="205"/>
      <c r="I39" s="207"/>
      <c r="J39" s="206"/>
    </row>
    <row r="40" spans="2:10" ht="17.100000000000001" customHeight="1" thickBot="1" x14ac:dyDescent="0.45">
      <c r="B40" s="204"/>
      <c r="D40" s="210"/>
      <c r="E40" s="204"/>
    </row>
    <row r="41" spans="2:10" ht="15" x14ac:dyDescent="0.35">
      <c r="B41" s="596" t="s">
        <v>22</v>
      </c>
      <c r="C41" s="597"/>
      <c r="D41" s="597"/>
      <c r="E41" s="597"/>
      <c r="F41" s="598"/>
      <c r="G41" s="2"/>
    </row>
    <row r="42" spans="2:10" ht="15" x14ac:dyDescent="0.35">
      <c r="B42" s="599" t="s">
        <v>23</v>
      </c>
      <c r="C42" s="600"/>
      <c r="D42" s="600"/>
      <c r="E42" s="600"/>
      <c r="F42" s="601"/>
      <c r="G42" s="2"/>
    </row>
    <row r="43" spans="2:10" ht="13.15" thickBot="1" x14ac:dyDescent="0.4">
      <c r="B43" s="527"/>
      <c r="C43" s="528"/>
      <c r="D43" s="528"/>
      <c r="E43" s="528"/>
      <c r="F43" s="529"/>
      <c r="G43" s="2"/>
    </row>
    <row r="44" spans="2:10" ht="30.4" thickBot="1" x14ac:dyDescent="0.4">
      <c r="B44" s="192" t="s">
        <v>24</v>
      </c>
      <c r="C44" s="193"/>
      <c r="D44" s="194" t="s">
        <v>25</v>
      </c>
      <c r="E44" s="194" t="s">
        <v>25</v>
      </c>
      <c r="F44" s="195" t="s">
        <v>26</v>
      </c>
      <c r="G44" s="2"/>
    </row>
    <row r="45" spans="2:10" ht="15" x14ac:dyDescent="0.35">
      <c r="B45" s="192" t="s">
        <v>24</v>
      </c>
      <c r="C45" s="236" t="s">
        <v>27</v>
      </c>
      <c r="D45" s="236" t="s">
        <v>28</v>
      </c>
      <c r="E45" s="236" t="s">
        <v>29</v>
      </c>
      <c r="F45" s="242" t="s">
        <v>30</v>
      </c>
      <c r="G45" s="2"/>
    </row>
    <row r="46" spans="2:10" ht="13.15" x14ac:dyDescent="0.4">
      <c r="B46" s="196" t="s">
        <v>31</v>
      </c>
      <c r="C46" s="237"/>
      <c r="D46" s="197"/>
      <c r="E46" s="197"/>
      <c r="F46" s="198"/>
      <c r="G46" s="2"/>
    </row>
    <row r="47" spans="2:10" ht="13.15" x14ac:dyDescent="0.4">
      <c r="B47" s="235" t="s">
        <v>32</v>
      </c>
      <c r="C47" s="173">
        <f>+Inversiones!B86</f>
        <v>3000</v>
      </c>
      <c r="D47" s="200">
        <f>+Inversiones!C86</f>
        <v>4500</v>
      </c>
      <c r="E47" s="239">
        <f>+Inversiones!D86</f>
        <v>7500</v>
      </c>
      <c r="F47" s="243">
        <f>+E47/E52</f>
        <v>0.46038160519719684</v>
      </c>
      <c r="G47" s="2"/>
    </row>
    <row r="48" spans="2:10" ht="13.15" x14ac:dyDescent="0.4">
      <c r="B48" s="235" t="s">
        <v>33</v>
      </c>
      <c r="C48" s="173">
        <f>+Inversiones!B87</f>
        <v>2360</v>
      </c>
      <c r="D48" s="200">
        <f>+Inversiones!C87</f>
        <v>3540</v>
      </c>
      <c r="E48" s="239">
        <f>+Inversiones!D87</f>
        <v>5900</v>
      </c>
      <c r="F48" s="243">
        <f>+E48/E52</f>
        <v>0.36216686275512816</v>
      </c>
      <c r="G48" s="2"/>
    </row>
    <row r="49" spans="2:7" ht="13.15" x14ac:dyDescent="0.4">
      <c r="B49" s="235" t="s">
        <v>34</v>
      </c>
      <c r="C49" s="173">
        <f>+Inversiones!B88</f>
        <v>1156.3333333333333</v>
      </c>
      <c r="D49" s="200">
        <f>+Inversiones!C88</f>
        <v>1734.4999999999998</v>
      </c>
      <c r="E49" s="239">
        <f>+Inversiones!D88</f>
        <v>2890.833333333333</v>
      </c>
      <c r="F49" s="243">
        <f>+E49/E52</f>
        <v>0.17745153204767508</v>
      </c>
      <c r="G49" s="2"/>
    </row>
    <row r="50" spans="2:7" x14ac:dyDescent="0.35">
      <c r="B50" s="199"/>
      <c r="C50" s="168"/>
      <c r="D50" s="200"/>
      <c r="E50" s="200"/>
      <c r="F50" s="244"/>
      <c r="G50" s="2"/>
    </row>
    <row r="51" spans="2:7" x14ac:dyDescent="0.35">
      <c r="B51" s="235" t="s">
        <v>35</v>
      </c>
      <c r="C51" s="241">
        <v>0.4</v>
      </c>
      <c r="D51" s="240">
        <v>0.6</v>
      </c>
      <c r="E51" s="240">
        <f>+C51+D51</f>
        <v>1</v>
      </c>
      <c r="F51" s="243">
        <f>SUM(F47:F50)</f>
        <v>1</v>
      </c>
      <c r="G51" s="2"/>
    </row>
    <row r="52" spans="2:7" ht="15.4" thickBot="1" x14ac:dyDescent="0.4">
      <c r="B52" s="201" t="s">
        <v>36</v>
      </c>
      <c r="C52" s="238">
        <f>SUM(C47:C49)</f>
        <v>6516.333333333333</v>
      </c>
      <c r="D52" s="238">
        <f>SUM(D47:D49)</f>
        <v>9774.5</v>
      </c>
      <c r="E52" s="238">
        <f>SUM(E47:E49)</f>
        <v>16290.833333333332</v>
      </c>
      <c r="F52" s="202"/>
      <c r="G52" s="309"/>
    </row>
    <row r="53" spans="2:7" x14ac:dyDescent="0.35">
      <c r="B53" s="246"/>
      <c r="C53" s="247"/>
      <c r="D53" s="248"/>
      <c r="E53" s="248"/>
      <c r="F53" s="249"/>
      <c r="G53" s="2"/>
    </row>
    <row r="54" spans="2:7" ht="19.149999999999999" thickBot="1" x14ac:dyDescent="0.4">
      <c r="B54" s="201" t="s">
        <v>37</v>
      </c>
      <c r="C54" s="253">
        <f>+D23</f>
        <v>0.26835719999999996</v>
      </c>
      <c r="D54" s="254">
        <v>0.35</v>
      </c>
      <c r="E54" s="323">
        <f>+C54*C51+D54*D51</f>
        <v>0.31734287999999999</v>
      </c>
      <c r="F54" s="202"/>
      <c r="G54" s="2"/>
    </row>
    <row r="55" spans="2:7" ht="18" customHeight="1" thickBot="1" x14ac:dyDescent="0.4">
      <c r="B55" s="250"/>
      <c r="C55" s="255" t="s">
        <v>38</v>
      </c>
      <c r="D55" s="251"/>
      <c r="E55" s="255" t="s">
        <v>39</v>
      </c>
      <c r="F55" s="252"/>
      <c r="G55" s="2"/>
    </row>
    <row r="56" spans="2:7" x14ac:dyDescent="0.35">
      <c r="B56" s="2"/>
      <c r="C56" s="2"/>
      <c r="D56" s="2"/>
      <c r="E56" s="2"/>
      <c r="F56" s="2"/>
      <c r="G56" s="2"/>
    </row>
    <row r="58" spans="2:7" ht="16.899999999999999" x14ac:dyDescent="0.5">
      <c r="B58" s="312" t="s">
        <v>40</v>
      </c>
    </row>
    <row r="59" spans="2:7" ht="15" x14ac:dyDescent="0.4">
      <c r="B59" s="162" t="s">
        <v>41</v>
      </c>
    </row>
    <row r="60" spans="2:7" ht="15" x14ac:dyDescent="0.4">
      <c r="B60" s="162" t="s">
        <v>42</v>
      </c>
    </row>
  </sheetData>
  <mergeCells count="2">
    <mergeCell ref="B41:F41"/>
    <mergeCell ref="B42:F42"/>
  </mergeCells>
  <dataValidations count="1">
    <dataValidation type="textLength" allowBlank="1" showInputMessage="1" showErrorMessage="1" error="DATO AUTOMATICO" sqref="F52 F54" xr:uid="{00000000-0002-0000-0000-000000000000}">
      <formula1>0</formula1>
      <formula2>0</formula2>
    </dataValidation>
  </dataValidations>
  <pageMargins left="0.55118110236220474" right="0.35433070866141736" top="0.98425196850393704" bottom="0.78740157480314965" header="0" footer="0"/>
  <pageSetup scale="7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H25"/>
  <sheetViews>
    <sheetView zoomScale="90" zoomScaleNormal="90" workbookViewId="0">
      <selection activeCell="B10" sqref="B10"/>
    </sheetView>
  </sheetViews>
  <sheetFormatPr baseColWidth="10" defaultColWidth="10.86328125" defaultRowHeight="12.75" x14ac:dyDescent="0.35"/>
  <cols>
    <col min="1" max="1" width="10.86328125" style="496"/>
    <col min="2" max="2" width="17.46484375" style="496" customWidth="1"/>
    <col min="3" max="16384" width="10.86328125" style="496"/>
  </cols>
  <sheetData>
    <row r="3" spans="2:8" x14ac:dyDescent="0.35">
      <c r="B3" s="496" t="s">
        <v>312</v>
      </c>
    </row>
    <row r="6" spans="2:8" ht="13.15" x14ac:dyDescent="0.4">
      <c r="B6" s="539" t="s">
        <v>313</v>
      </c>
      <c r="C6" s="539" t="s">
        <v>314</v>
      </c>
      <c r="D6" s="539" t="s">
        <v>141</v>
      </c>
      <c r="E6" s="539" t="s">
        <v>53</v>
      </c>
      <c r="F6" s="539" t="s">
        <v>315</v>
      </c>
      <c r="G6" s="539" t="s">
        <v>316</v>
      </c>
      <c r="H6" s="539" t="s">
        <v>317</v>
      </c>
    </row>
    <row r="7" spans="2:8" x14ac:dyDescent="0.35">
      <c r="B7" s="582" t="str">
        <f>+PVenta!B4</f>
        <v>Publicación y Desarrollo de Trabajo completo</v>
      </c>
      <c r="C7" s="583">
        <f>+'Costo Unitario'!G4</f>
        <v>1243.0583333333332</v>
      </c>
      <c r="D7" s="583">
        <f>+'Costo Unitario'!E23</f>
        <v>0</v>
      </c>
      <c r="E7" s="583">
        <f>+PVenta!D14</f>
        <v>70</v>
      </c>
      <c r="F7" s="583">
        <f>+E7-D7</f>
        <v>70</v>
      </c>
      <c r="G7" s="582">
        <f>ROUNDUP(C7/F7,0)</f>
        <v>18</v>
      </c>
      <c r="H7" s="582">
        <f>+G7*E7</f>
        <v>1260</v>
      </c>
    </row>
    <row r="8" spans="2:8" x14ac:dyDescent="0.35">
      <c r="B8" s="582" t="str">
        <f>+PVenta!B19</f>
        <v>Denuncias o solicitudes de reembolso</v>
      </c>
      <c r="C8" s="583">
        <f>+'Costo Unitario'!G5</f>
        <v>896.15833333333319</v>
      </c>
      <c r="D8" s="583">
        <f>+'Costo Unitario'!L23</f>
        <v>0</v>
      </c>
      <c r="E8" s="583">
        <f>+PVenta!D29</f>
        <v>85</v>
      </c>
      <c r="F8" s="583">
        <f t="shared" ref="F8:F9" si="0">+E8-D8</f>
        <v>85</v>
      </c>
      <c r="G8" s="582">
        <f t="shared" ref="G8:G9" si="1">ROUNDUP(C8/F8,0)</f>
        <v>11</v>
      </c>
      <c r="H8" s="582">
        <f t="shared" ref="H8:H9" si="2">+G8*E8</f>
        <v>935</v>
      </c>
    </row>
    <row r="9" spans="2:8" x14ac:dyDescent="0.35">
      <c r="B9" s="582" t="str">
        <f>+PVenta!B34</f>
        <v>Ventas de examenes resueltos</v>
      </c>
      <c r="C9" s="583">
        <f>+'Costo Unitario'!G6</f>
        <v>751.61666666666656</v>
      </c>
      <c r="D9" s="583">
        <f>+'Costo Unitario'!S23</f>
        <v>3.2</v>
      </c>
      <c r="E9" s="583">
        <f>+PVenta!D44</f>
        <v>105</v>
      </c>
      <c r="F9" s="583">
        <f t="shared" si="0"/>
        <v>101.8</v>
      </c>
      <c r="G9" s="582">
        <f t="shared" si="1"/>
        <v>8</v>
      </c>
      <c r="H9" s="582">
        <f t="shared" si="2"/>
        <v>840</v>
      </c>
    </row>
    <row r="10" spans="2:8" x14ac:dyDescent="0.35">
      <c r="H10" s="500">
        <f>SUM(H7:H9)</f>
        <v>3035</v>
      </c>
    </row>
    <row r="12" spans="2:8" x14ac:dyDescent="0.35">
      <c r="B12" s="496" t="s">
        <v>325</v>
      </c>
      <c r="C12" s="498" t="s">
        <v>318</v>
      </c>
      <c r="D12" s="498" t="s">
        <v>319</v>
      </c>
      <c r="E12" s="498" t="s">
        <v>314</v>
      </c>
      <c r="F12" s="498" t="s">
        <v>320</v>
      </c>
      <c r="G12" s="498" t="s">
        <v>195</v>
      </c>
    </row>
    <row r="13" spans="2:8" x14ac:dyDescent="0.35">
      <c r="C13" s="497">
        <v>0</v>
      </c>
      <c r="D13" s="497" t="e">
        <f t="shared" ref="D13:D25" si="3">+VLOOKUP($B$12,$B$7:$H$9,3,FALSE)*C13</f>
        <v>#N/A</v>
      </c>
      <c r="E13" s="499" t="e">
        <f t="shared" ref="E13:E25" si="4">+VLOOKUP($B$12,$B$7:$G$9,2,FALSE)</f>
        <v>#N/A</v>
      </c>
      <c r="F13" s="499" t="e">
        <f>+E13+D13</f>
        <v>#N/A</v>
      </c>
      <c r="G13" s="497" t="e">
        <f t="shared" ref="G13:G25" si="5">+C13*VLOOKUP($B$12,$B$7:$F$9,4,FALSE())</f>
        <v>#N/A</v>
      </c>
    </row>
    <row r="14" spans="2:8" x14ac:dyDescent="0.35">
      <c r="C14" s="497">
        <v>100</v>
      </c>
      <c r="D14" s="497" t="e">
        <f t="shared" si="3"/>
        <v>#N/A</v>
      </c>
      <c r="E14" s="499" t="e">
        <f t="shared" si="4"/>
        <v>#N/A</v>
      </c>
      <c r="F14" s="499" t="e">
        <f t="shared" ref="F14:F24" si="6">+E14+D14</f>
        <v>#N/A</v>
      </c>
      <c r="G14" s="497" t="e">
        <f t="shared" si="5"/>
        <v>#N/A</v>
      </c>
    </row>
    <row r="15" spans="2:8" x14ac:dyDescent="0.35">
      <c r="C15" s="497">
        <v>200</v>
      </c>
      <c r="D15" s="497" t="e">
        <f t="shared" si="3"/>
        <v>#N/A</v>
      </c>
      <c r="E15" s="499" t="e">
        <f t="shared" si="4"/>
        <v>#N/A</v>
      </c>
      <c r="F15" s="499" t="e">
        <f t="shared" si="6"/>
        <v>#N/A</v>
      </c>
      <c r="G15" s="497" t="e">
        <f t="shared" si="5"/>
        <v>#N/A</v>
      </c>
    </row>
    <row r="16" spans="2:8" x14ac:dyDescent="0.35">
      <c r="C16" s="497">
        <v>300</v>
      </c>
      <c r="D16" s="497" t="e">
        <f t="shared" si="3"/>
        <v>#N/A</v>
      </c>
      <c r="E16" s="499" t="e">
        <f t="shared" si="4"/>
        <v>#N/A</v>
      </c>
      <c r="F16" s="499" t="e">
        <f t="shared" si="6"/>
        <v>#N/A</v>
      </c>
      <c r="G16" s="497" t="e">
        <f t="shared" si="5"/>
        <v>#N/A</v>
      </c>
    </row>
    <row r="17" spans="3:7" x14ac:dyDescent="0.35">
      <c r="C17" s="497">
        <v>400</v>
      </c>
      <c r="D17" s="497" t="e">
        <f t="shared" si="3"/>
        <v>#N/A</v>
      </c>
      <c r="E17" s="499" t="e">
        <f t="shared" si="4"/>
        <v>#N/A</v>
      </c>
      <c r="F17" s="499" t="e">
        <f t="shared" si="6"/>
        <v>#N/A</v>
      </c>
      <c r="G17" s="497" t="e">
        <f t="shared" si="5"/>
        <v>#N/A</v>
      </c>
    </row>
    <row r="18" spans="3:7" x14ac:dyDescent="0.35">
      <c r="C18" s="497">
        <v>500</v>
      </c>
      <c r="D18" s="497" t="e">
        <f t="shared" si="3"/>
        <v>#N/A</v>
      </c>
      <c r="E18" s="499" t="e">
        <f t="shared" si="4"/>
        <v>#N/A</v>
      </c>
      <c r="F18" s="499" t="e">
        <f t="shared" si="6"/>
        <v>#N/A</v>
      </c>
      <c r="G18" s="497" t="e">
        <f t="shared" si="5"/>
        <v>#N/A</v>
      </c>
    </row>
    <row r="19" spans="3:7" x14ac:dyDescent="0.35">
      <c r="C19" s="497">
        <v>600</v>
      </c>
      <c r="D19" s="497" t="e">
        <f t="shared" si="3"/>
        <v>#N/A</v>
      </c>
      <c r="E19" s="499" t="e">
        <f t="shared" si="4"/>
        <v>#N/A</v>
      </c>
      <c r="F19" s="499" t="e">
        <f t="shared" si="6"/>
        <v>#N/A</v>
      </c>
      <c r="G19" s="497" t="e">
        <f t="shared" si="5"/>
        <v>#N/A</v>
      </c>
    </row>
    <row r="20" spans="3:7" x14ac:dyDescent="0.35">
      <c r="C20" s="497">
        <v>700</v>
      </c>
      <c r="D20" s="497" t="e">
        <f t="shared" si="3"/>
        <v>#N/A</v>
      </c>
      <c r="E20" s="499" t="e">
        <f t="shared" si="4"/>
        <v>#N/A</v>
      </c>
      <c r="F20" s="499" t="e">
        <f t="shared" si="6"/>
        <v>#N/A</v>
      </c>
      <c r="G20" s="497" t="e">
        <f t="shared" si="5"/>
        <v>#N/A</v>
      </c>
    </row>
    <row r="21" spans="3:7" x14ac:dyDescent="0.35">
      <c r="C21" s="497">
        <v>800</v>
      </c>
      <c r="D21" s="497" t="e">
        <f t="shared" si="3"/>
        <v>#N/A</v>
      </c>
      <c r="E21" s="499" t="e">
        <f t="shared" si="4"/>
        <v>#N/A</v>
      </c>
      <c r="F21" s="499" t="e">
        <f t="shared" si="6"/>
        <v>#N/A</v>
      </c>
      <c r="G21" s="497" t="e">
        <f t="shared" si="5"/>
        <v>#N/A</v>
      </c>
    </row>
    <row r="22" spans="3:7" x14ac:dyDescent="0.35">
      <c r="C22" s="497">
        <v>900</v>
      </c>
      <c r="D22" s="497" t="e">
        <f t="shared" si="3"/>
        <v>#N/A</v>
      </c>
      <c r="E22" s="499" t="e">
        <f t="shared" si="4"/>
        <v>#N/A</v>
      </c>
      <c r="F22" s="499" t="e">
        <f t="shared" si="6"/>
        <v>#N/A</v>
      </c>
      <c r="G22" s="497" t="e">
        <f t="shared" si="5"/>
        <v>#N/A</v>
      </c>
    </row>
    <row r="23" spans="3:7" x14ac:dyDescent="0.35">
      <c r="C23" s="497">
        <v>1000</v>
      </c>
      <c r="D23" s="497" t="e">
        <f t="shared" si="3"/>
        <v>#N/A</v>
      </c>
      <c r="E23" s="499" t="e">
        <f t="shared" si="4"/>
        <v>#N/A</v>
      </c>
      <c r="F23" s="499" t="e">
        <f t="shared" si="6"/>
        <v>#N/A</v>
      </c>
      <c r="G23" s="497" t="e">
        <f t="shared" si="5"/>
        <v>#N/A</v>
      </c>
    </row>
    <row r="24" spans="3:7" x14ac:dyDescent="0.35">
      <c r="C24" s="497">
        <v>1100</v>
      </c>
      <c r="D24" s="497" t="e">
        <f t="shared" si="3"/>
        <v>#N/A</v>
      </c>
      <c r="E24" s="499" t="e">
        <f t="shared" si="4"/>
        <v>#N/A</v>
      </c>
      <c r="F24" s="499" t="e">
        <f t="shared" si="6"/>
        <v>#N/A</v>
      </c>
      <c r="G24" s="497" t="e">
        <f t="shared" si="5"/>
        <v>#N/A</v>
      </c>
    </row>
    <row r="25" spans="3:7" x14ac:dyDescent="0.35">
      <c r="C25" s="497">
        <v>1200</v>
      </c>
      <c r="D25" s="497" t="e">
        <f t="shared" si="3"/>
        <v>#N/A</v>
      </c>
      <c r="E25" s="499" t="e">
        <f t="shared" si="4"/>
        <v>#N/A</v>
      </c>
      <c r="F25" s="499" t="e">
        <f>+E25+D25</f>
        <v>#N/A</v>
      </c>
      <c r="G25" s="497" t="e">
        <f t="shared" si="5"/>
        <v>#N/A</v>
      </c>
    </row>
  </sheetData>
  <dataValidations count="1">
    <dataValidation type="list" allowBlank="1" showInputMessage="1" showErrorMessage="1" sqref="B12" xr:uid="{00000000-0002-0000-0800-000000000000}">
      <formula1>$B$7:$B$9</formula1>
    </dataValidation>
  </dataValidation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0000"/>
    <pageSetUpPr fitToPage="1"/>
  </sheetPr>
  <dimension ref="B2:R146"/>
  <sheetViews>
    <sheetView showGridLines="0" tabSelected="1" zoomScale="60" zoomScaleNormal="60" workbookViewId="0">
      <selection activeCell="I102" sqref="I102"/>
    </sheetView>
  </sheetViews>
  <sheetFormatPr baseColWidth="10" defaultColWidth="11.46484375" defaultRowHeight="12.75" x14ac:dyDescent="0.35"/>
  <cols>
    <col min="1" max="1" width="2.1328125" style="2" customWidth="1"/>
    <col min="2" max="2" width="33" style="2" customWidth="1"/>
    <col min="3" max="3" width="15" style="2" customWidth="1"/>
    <col min="4" max="4" width="14.6640625" style="2" customWidth="1"/>
    <col min="5" max="15" width="15.6640625" style="2" customWidth="1"/>
    <col min="16" max="16" width="22.1328125" style="2" customWidth="1"/>
    <col min="17" max="16384" width="11.46484375" style="2"/>
  </cols>
  <sheetData>
    <row r="2" spans="2:15" ht="43.5" customHeight="1" x14ac:dyDescent="0.6">
      <c r="B2" s="7" t="s">
        <v>170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spans="2:15" ht="13.15" x14ac:dyDescent="0.4">
      <c r="B3" s="677"/>
      <c r="C3" s="677"/>
      <c r="D3" s="677"/>
      <c r="E3" s="677"/>
      <c r="F3" s="677"/>
      <c r="G3" s="677"/>
      <c r="H3" s="677"/>
      <c r="I3" s="677"/>
      <c r="J3" s="677"/>
      <c r="K3" s="677"/>
      <c r="L3" s="677"/>
      <c r="M3" s="677"/>
      <c r="N3" s="677"/>
      <c r="O3" s="677"/>
    </row>
    <row r="4" spans="2:15" ht="15" x14ac:dyDescent="0.4">
      <c r="B4" s="137" t="s">
        <v>171</v>
      </c>
      <c r="C4" s="137"/>
      <c r="D4" s="137"/>
      <c r="E4" s="137"/>
      <c r="F4" s="137"/>
      <c r="G4" s="137"/>
      <c r="H4" s="137"/>
      <c r="I4" s="137"/>
      <c r="J4" s="137"/>
      <c r="K4" s="137"/>
      <c r="L4" s="137"/>
      <c r="M4" s="137"/>
      <c r="N4" s="137"/>
      <c r="O4" s="137"/>
    </row>
    <row r="5" spans="2:15" ht="15" x14ac:dyDescent="0.4">
      <c r="B5" s="8" t="s">
        <v>172</v>
      </c>
      <c r="C5" s="137"/>
      <c r="D5" s="137"/>
      <c r="E5" s="137"/>
      <c r="F5" s="137"/>
      <c r="G5" s="137"/>
      <c r="H5" s="137"/>
      <c r="I5" s="137"/>
      <c r="J5" s="137"/>
      <c r="K5" s="137"/>
      <c r="L5" s="137"/>
      <c r="M5" s="137"/>
      <c r="N5" s="137"/>
      <c r="O5" s="137"/>
    </row>
    <row r="6" spans="2:15" ht="7.5" customHeight="1" thickBot="1" x14ac:dyDescent="0.45">
      <c r="B6" s="74"/>
      <c r="C6" s="74"/>
      <c r="D6" s="74"/>
      <c r="E6" s="74"/>
      <c r="F6" s="74"/>
      <c r="G6" s="74"/>
      <c r="H6" s="74"/>
      <c r="I6" s="74"/>
      <c r="J6" s="74"/>
      <c r="K6" s="74"/>
      <c r="L6" s="74"/>
      <c r="M6" s="74"/>
      <c r="N6" s="74"/>
      <c r="O6" s="74"/>
    </row>
    <row r="7" spans="2:15" ht="13.5" thickBot="1" x14ac:dyDescent="0.45">
      <c r="B7" s="61" t="s">
        <v>77</v>
      </c>
      <c r="C7" s="62">
        <v>1</v>
      </c>
      <c r="D7" s="62">
        <v>2</v>
      </c>
      <c r="E7" s="62">
        <v>3</v>
      </c>
      <c r="F7" s="62">
        <v>4</v>
      </c>
      <c r="G7" s="62">
        <v>5</v>
      </c>
      <c r="H7" s="62">
        <v>6</v>
      </c>
      <c r="I7" s="62">
        <v>7</v>
      </c>
      <c r="J7" s="62">
        <v>8</v>
      </c>
      <c r="K7" s="62">
        <v>9</v>
      </c>
      <c r="L7" s="62">
        <v>10</v>
      </c>
      <c r="M7" s="62">
        <v>11</v>
      </c>
      <c r="N7" s="62">
        <v>12</v>
      </c>
      <c r="O7" s="62" t="s">
        <v>50</v>
      </c>
    </row>
    <row r="8" spans="2:15" ht="13.15" x14ac:dyDescent="0.4">
      <c r="B8" s="63" t="s">
        <v>173</v>
      </c>
      <c r="C8" s="78">
        <f t="shared" ref="C8:N8" si="0">C9</f>
        <v>0</v>
      </c>
      <c r="D8" s="78">
        <f t="shared" si="0"/>
        <v>0</v>
      </c>
      <c r="E8" s="78">
        <f t="shared" si="0"/>
        <v>0</v>
      </c>
      <c r="F8" s="78">
        <f t="shared" si="0"/>
        <v>0</v>
      </c>
      <c r="G8" s="78">
        <f t="shared" si="0"/>
        <v>0</v>
      </c>
      <c r="H8" s="78">
        <f t="shared" si="0"/>
        <v>0</v>
      </c>
      <c r="I8" s="78">
        <f t="shared" si="0"/>
        <v>0</v>
      </c>
      <c r="J8" s="78">
        <f t="shared" si="0"/>
        <v>0</v>
      </c>
      <c r="K8" s="78">
        <f t="shared" si="0"/>
        <v>0</v>
      </c>
      <c r="L8" s="78">
        <f t="shared" si="0"/>
        <v>0</v>
      </c>
      <c r="M8" s="78">
        <f t="shared" si="0"/>
        <v>0</v>
      </c>
      <c r="N8" s="78">
        <f t="shared" si="0"/>
        <v>0</v>
      </c>
      <c r="O8" s="78">
        <f>SUM(C8:N8)</f>
        <v>0</v>
      </c>
    </row>
    <row r="9" spans="2:15" x14ac:dyDescent="0.35">
      <c r="B9" s="19" t="s">
        <v>174</v>
      </c>
      <c r="C9" s="42">
        <f>+'Proy Vtas'!C28</f>
        <v>0</v>
      </c>
      <c r="D9" s="42">
        <f>+'Proy Vtas'!D28</f>
        <v>0</v>
      </c>
      <c r="E9" s="42">
        <f>+'Proy Vtas'!E28</f>
        <v>0</v>
      </c>
      <c r="F9" s="42">
        <f>+'Proy Vtas'!F28</f>
        <v>0</v>
      </c>
      <c r="G9" s="42">
        <f>+'Proy Vtas'!G28</f>
        <v>0</v>
      </c>
      <c r="H9" s="42">
        <f>+'Proy Vtas'!H28</f>
        <v>0</v>
      </c>
      <c r="I9" s="42">
        <f>+'Proy Vtas'!I28</f>
        <v>0</v>
      </c>
      <c r="J9" s="42">
        <f>+'Proy Vtas'!J28</f>
        <v>0</v>
      </c>
      <c r="K9" s="42">
        <f>+'Proy Vtas'!K28</f>
        <v>0</v>
      </c>
      <c r="L9" s="42">
        <f>+'Proy Vtas'!L28</f>
        <v>0</v>
      </c>
      <c r="M9" s="42">
        <f>+'Proy Vtas'!M28</f>
        <v>0</v>
      </c>
      <c r="N9" s="42">
        <f>+'Proy Vtas'!N28</f>
        <v>0</v>
      </c>
      <c r="O9" s="42"/>
    </row>
    <row r="10" spans="2:15" ht="13.15" x14ac:dyDescent="0.4">
      <c r="B10" s="63" t="s">
        <v>175</v>
      </c>
      <c r="C10" s="113">
        <f>+C12</f>
        <v>2800</v>
      </c>
      <c r="D10" s="113">
        <f t="shared" ref="D10:N10" si="1">+D12</f>
        <v>2800</v>
      </c>
      <c r="E10" s="113">
        <f t="shared" si="1"/>
        <v>2800</v>
      </c>
      <c r="F10" s="113">
        <f t="shared" si="1"/>
        <v>2800</v>
      </c>
      <c r="G10" s="113">
        <f t="shared" si="1"/>
        <v>2800</v>
      </c>
      <c r="H10" s="113">
        <f t="shared" si="1"/>
        <v>2800</v>
      </c>
      <c r="I10" s="113">
        <f t="shared" si="1"/>
        <v>2800</v>
      </c>
      <c r="J10" s="113">
        <f t="shared" si="1"/>
        <v>2800</v>
      </c>
      <c r="K10" s="113">
        <f t="shared" si="1"/>
        <v>2800</v>
      </c>
      <c r="L10" s="113">
        <f t="shared" si="1"/>
        <v>2800</v>
      </c>
      <c r="M10" s="113">
        <f t="shared" si="1"/>
        <v>2800</v>
      </c>
      <c r="N10" s="113">
        <f t="shared" si="1"/>
        <v>2800</v>
      </c>
      <c r="O10" s="78">
        <f>SUM(C10:N10)</f>
        <v>33600</v>
      </c>
    </row>
    <row r="11" spans="2:15" x14ac:dyDescent="0.35">
      <c r="B11" s="45"/>
      <c r="C11" s="42"/>
      <c r="D11" s="42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</row>
    <row r="12" spans="2:15" x14ac:dyDescent="0.35">
      <c r="B12" s="44" t="s">
        <v>156</v>
      </c>
      <c r="C12" s="42">
        <f>+C16+C17</f>
        <v>2800</v>
      </c>
      <c r="D12" s="42">
        <f t="shared" ref="D12:N12" si="2">+D16+D17</f>
        <v>2800</v>
      </c>
      <c r="E12" s="42">
        <f t="shared" si="2"/>
        <v>2800</v>
      </c>
      <c r="F12" s="42">
        <f t="shared" si="2"/>
        <v>2800</v>
      </c>
      <c r="G12" s="42">
        <f t="shared" si="2"/>
        <v>2800</v>
      </c>
      <c r="H12" s="42">
        <f t="shared" si="2"/>
        <v>2800</v>
      </c>
      <c r="I12" s="42">
        <f t="shared" si="2"/>
        <v>2800</v>
      </c>
      <c r="J12" s="42">
        <f t="shared" si="2"/>
        <v>2800</v>
      </c>
      <c r="K12" s="42">
        <f t="shared" si="2"/>
        <v>2800</v>
      </c>
      <c r="L12" s="42">
        <f t="shared" si="2"/>
        <v>2800</v>
      </c>
      <c r="M12" s="42">
        <f t="shared" si="2"/>
        <v>2800</v>
      </c>
      <c r="N12" s="42">
        <f t="shared" si="2"/>
        <v>2800</v>
      </c>
      <c r="O12" s="42"/>
    </row>
    <row r="13" spans="2:15" x14ac:dyDescent="0.35">
      <c r="B13" s="43" t="s">
        <v>176</v>
      </c>
      <c r="C13" s="42">
        <f>+'Costos totales'!C22</f>
        <v>2890.833333333333</v>
      </c>
      <c r="D13" s="42">
        <f>+'Costos totales'!D22</f>
        <v>2890.833333333333</v>
      </c>
      <c r="E13" s="42">
        <f>+'Costos totales'!E22</f>
        <v>2890.833333333333</v>
      </c>
      <c r="F13" s="42">
        <f>+'Costos totales'!F22</f>
        <v>2890.833333333333</v>
      </c>
      <c r="G13" s="42">
        <f>+'Costos totales'!G22</f>
        <v>2890.833333333333</v>
      </c>
      <c r="H13" s="42">
        <f>+'Costos totales'!H22</f>
        <v>2890.833333333333</v>
      </c>
      <c r="I13" s="42">
        <f>+'Costos totales'!I22</f>
        <v>2890.833333333333</v>
      </c>
      <c r="J13" s="42">
        <f>+'Costos totales'!J22</f>
        <v>2890.833333333333</v>
      </c>
      <c r="K13" s="42">
        <f>+'Costos totales'!K22</f>
        <v>2890.833333333333</v>
      </c>
      <c r="L13" s="42">
        <f>+'Costos totales'!L22</f>
        <v>2890.833333333333</v>
      </c>
      <c r="M13" s="42">
        <f>+'Costos totales'!M22</f>
        <v>2890.833333333333</v>
      </c>
      <c r="N13" s="42">
        <f>+'Costos totales'!N22</f>
        <v>2890.833333333333</v>
      </c>
      <c r="O13" s="42"/>
    </row>
    <row r="14" spans="2:15" x14ac:dyDescent="0.35">
      <c r="B14" s="43" t="s">
        <v>122</v>
      </c>
      <c r="C14" s="42">
        <f>-Inversiones!J50</f>
        <v>-41.666666666666664</v>
      </c>
      <c r="D14" s="42">
        <f>+C14</f>
        <v>-41.666666666666664</v>
      </c>
      <c r="E14" s="42">
        <f t="shared" ref="E14:N15" si="3">+D14</f>
        <v>-41.666666666666664</v>
      </c>
      <c r="F14" s="42">
        <f t="shared" si="3"/>
        <v>-41.666666666666664</v>
      </c>
      <c r="G14" s="42">
        <f t="shared" si="3"/>
        <v>-41.666666666666664</v>
      </c>
      <c r="H14" s="42">
        <f t="shared" si="3"/>
        <v>-41.666666666666664</v>
      </c>
      <c r="I14" s="42">
        <f t="shared" si="3"/>
        <v>-41.666666666666664</v>
      </c>
      <c r="J14" s="42">
        <f>+I14</f>
        <v>-41.666666666666664</v>
      </c>
      <c r="K14" s="42">
        <f t="shared" si="3"/>
        <v>-41.666666666666664</v>
      </c>
      <c r="L14" s="42">
        <f t="shared" si="3"/>
        <v>-41.666666666666664</v>
      </c>
      <c r="M14" s="42">
        <f t="shared" si="3"/>
        <v>-41.666666666666664</v>
      </c>
      <c r="N14" s="42">
        <f t="shared" si="3"/>
        <v>-41.666666666666664</v>
      </c>
      <c r="O14" s="42"/>
    </row>
    <row r="15" spans="2:15" x14ac:dyDescent="0.35">
      <c r="B15" s="43" t="s">
        <v>177</v>
      </c>
      <c r="C15" s="42">
        <f>-Inversiones!K60</f>
        <v>-49.166666666666664</v>
      </c>
      <c r="D15" s="42">
        <f>+C15</f>
        <v>-49.166666666666664</v>
      </c>
      <c r="E15" s="42">
        <f t="shared" si="3"/>
        <v>-49.166666666666664</v>
      </c>
      <c r="F15" s="42">
        <f t="shared" si="3"/>
        <v>-49.166666666666664</v>
      </c>
      <c r="G15" s="42">
        <f t="shared" si="3"/>
        <v>-49.166666666666664</v>
      </c>
      <c r="H15" s="42">
        <f t="shared" si="3"/>
        <v>-49.166666666666664</v>
      </c>
      <c r="I15" s="42">
        <f t="shared" si="3"/>
        <v>-49.166666666666664</v>
      </c>
      <c r="J15" s="42">
        <f>+I15</f>
        <v>-49.166666666666664</v>
      </c>
      <c r="K15" s="42">
        <f t="shared" si="3"/>
        <v>-49.166666666666664</v>
      </c>
      <c r="L15" s="42">
        <f t="shared" si="3"/>
        <v>-49.166666666666664</v>
      </c>
      <c r="M15" s="42">
        <f t="shared" si="3"/>
        <v>-49.166666666666664</v>
      </c>
      <c r="N15" s="42">
        <f t="shared" si="3"/>
        <v>-49.166666666666664</v>
      </c>
      <c r="O15" s="42"/>
    </row>
    <row r="16" spans="2:15" x14ac:dyDescent="0.35">
      <c r="B16" s="43" t="s">
        <v>178</v>
      </c>
      <c r="C16" s="42">
        <f>SUM(C13:C15)</f>
        <v>2800</v>
      </c>
      <c r="D16" s="42">
        <f t="shared" ref="D16:N16" si="4">SUM(D13:D15)</f>
        <v>2800</v>
      </c>
      <c r="E16" s="42">
        <f t="shared" si="4"/>
        <v>2800</v>
      </c>
      <c r="F16" s="42">
        <f t="shared" si="4"/>
        <v>2800</v>
      </c>
      <c r="G16" s="42">
        <f t="shared" si="4"/>
        <v>2800</v>
      </c>
      <c r="H16" s="42">
        <f t="shared" si="4"/>
        <v>2800</v>
      </c>
      <c r="I16" s="42">
        <f t="shared" si="4"/>
        <v>2800</v>
      </c>
      <c r="J16" s="42">
        <f t="shared" si="4"/>
        <v>2800</v>
      </c>
      <c r="K16" s="42">
        <f t="shared" si="4"/>
        <v>2800</v>
      </c>
      <c r="L16" s="42">
        <f t="shared" si="4"/>
        <v>2800</v>
      </c>
      <c r="M16" s="42">
        <f t="shared" si="4"/>
        <v>2800</v>
      </c>
      <c r="N16" s="42">
        <f t="shared" si="4"/>
        <v>2800</v>
      </c>
      <c r="O16" s="42"/>
    </row>
    <row r="17" spans="2:15" x14ac:dyDescent="0.35">
      <c r="B17" s="43" t="s">
        <v>179</v>
      </c>
      <c r="C17" s="42">
        <f>+'Costos totales'!C23</f>
        <v>0</v>
      </c>
      <c r="D17" s="42">
        <f>+'Costos totales'!D23</f>
        <v>0</v>
      </c>
      <c r="E17" s="42">
        <f>+'Costos totales'!E23</f>
        <v>0</v>
      </c>
      <c r="F17" s="42">
        <f>+'Costos totales'!F23</f>
        <v>0</v>
      </c>
      <c r="G17" s="42">
        <f>+'Costos totales'!G23</f>
        <v>0</v>
      </c>
      <c r="H17" s="42">
        <f>+'Costos totales'!H23</f>
        <v>0</v>
      </c>
      <c r="I17" s="42">
        <f>+'Costos totales'!I23</f>
        <v>0</v>
      </c>
      <c r="J17" s="42">
        <f>+'Costos totales'!J23</f>
        <v>0</v>
      </c>
      <c r="K17" s="42">
        <f>+'Costos totales'!K23</f>
        <v>0</v>
      </c>
      <c r="L17" s="42">
        <f>+'Costos totales'!L23</f>
        <v>0</v>
      </c>
      <c r="M17" s="42">
        <f>+'Costos totales'!M23</f>
        <v>0</v>
      </c>
      <c r="N17" s="42">
        <f>+'Costos totales'!N23</f>
        <v>0</v>
      </c>
      <c r="O17" s="42"/>
    </row>
    <row r="18" spans="2:15" ht="13.15" thickBot="1" x14ac:dyDescent="0.4">
      <c r="B18" s="41"/>
      <c r="C18" s="40"/>
      <c r="D18" s="40"/>
      <c r="E18" s="40"/>
      <c r="F18" s="40"/>
      <c r="G18" s="40"/>
      <c r="H18" s="40"/>
      <c r="I18" s="40"/>
      <c r="J18" s="40"/>
      <c r="K18" s="40"/>
      <c r="L18" s="40"/>
      <c r="M18" s="40"/>
      <c r="N18" s="40"/>
      <c r="O18" s="40"/>
    </row>
    <row r="19" spans="2:15" ht="13.5" thickBot="1" x14ac:dyDescent="0.45">
      <c r="B19" s="61" t="s">
        <v>180</v>
      </c>
      <c r="C19" s="79">
        <f t="shared" ref="C19:O19" si="5">+C8-C10</f>
        <v>-2800</v>
      </c>
      <c r="D19" s="79">
        <f t="shared" si="5"/>
        <v>-2800</v>
      </c>
      <c r="E19" s="79">
        <f t="shared" si="5"/>
        <v>-2800</v>
      </c>
      <c r="F19" s="79">
        <f t="shared" si="5"/>
        <v>-2800</v>
      </c>
      <c r="G19" s="79">
        <f t="shared" si="5"/>
        <v>-2800</v>
      </c>
      <c r="H19" s="79">
        <f t="shared" si="5"/>
        <v>-2800</v>
      </c>
      <c r="I19" s="79">
        <f t="shared" si="5"/>
        <v>-2800</v>
      </c>
      <c r="J19" s="79">
        <f t="shared" si="5"/>
        <v>-2800</v>
      </c>
      <c r="K19" s="79">
        <f t="shared" si="5"/>
        <v>-2800</v>
      </c>
      <c r="L19" s="79">
        <f t="shared" si="5"/>
        <v>-2800</v>
      </c>
      <c r="M19" s="79">
        <f t="shared" si="5"/>
        <v>-2800</v>
      </c>
      <c r="N19" s="79">
        <f t="shared" si="5"/>
        <v>-2800</v>
      </c>
      <c r="O19" s="79">
        <f t="shared" si="5"/>
        <v>-33600</v>
      </c>
    </row>
    <row r="22" spans="2:15" ht="15" x14ac:dyDescent="0.4">
      <c r="B22" s="137" t="s">
        <v>181</v>
      </c>
      <c r="C22" s="137"/>
      <c r="D22" s="137"/>
      <c r="E22" s="137"/>
      <c r="F22" s="137"/>
      <c r="G22" s="137"/>
      <c r="H22" s="137"/>
      <c r="I22" s="137"/>
      <c r="J22" s="137"/>
      <c r="K22" s="137"/>
      <c r="L22" s="137"/>
      <c r="M22" s="137"/>
      <c r="N22" s="137"/>
    </row>
    <row r="23" spans="2:15" ht="15" x14ac:dyDescent="0.4">
      <c r="B23" s="8" t="s">
        <v>172</v>
      </c>
      <c r="C23" s="137"/>
      <c r="D23" s="137"/>
      <c r="E23" s="137"/>
      <c r="F23" s="137"/>
      <c r="G23" s="137"/>
      <c r="H23" s="137"/>
      <c r="I23" s="137"/>
      <c r="J23" s="137"/>
      <c r="K23" s="137"/>
      <c r="L23" s="137"/>
      <c r="M23" s="137"/>
      <c r="N23" s="137"/>
    </row>
    <row r="24" spans="2:15" ht="15.4" thickBot="1" x14ac:dyDescent="0.45">
      <c r="B24" s="74"/>
      <c r="C24" s="74"/>
      <c r="D24" s="74"/>
      <c r="E24" s="74"/>
      <c r="F24" s="74"/>
      <c r="G24" s="74"/>
      <c r="H24" s="74"/>
      <c r="I24" s="74"/>
      <c r="J24" s="74"/>
      <c r="K24" s="74"/>
      <c r="L24" s="74"/>
      <c r="M24" s="74"/>
      <c r="N24" s="74"/>
    </row>
    <row r="25" spans="2:15" ht="13.5" thickBot="1" x14ac:dyDescent="0.45">
      <c r="B25" s="61" t="s">
        <v>77</v>
      </c>
      <c r="C25" s="62">
        <v>1</v>
      </c>
      <c r="D25" s="62">
        <v>2</v>
      </c>
      <c r="E25" s="62">
        <v>3</v>
      </c>
      <c r="F25" s="62">
        <v>4</v>
      </c>
      <c r="G25" s="62">
        <v>5</v>
      </c>
      <c r="H25" s="62">
        <v>6</v>
      </c>
      <c r="I25" s="62">
        <v>7</v>
      </c>
      <c r="J25" s="62">
        <v>8</v>
      </c>
      <c r="K25" s="62">
        <v>9</v>
      </c>
      <c r="L25" s="62">
        <v>10</v>
      </c>
      <c r="M25" s="62">
        <v>11</v>
      </c>
      <c r="N25" s="62">
        <v>12</v>
      </c>
      <c r="O25" s="62" t="s">
        <v>50</v>
      </c>
    </row>
    <row r="26" spans="2:15" ht="13.15" x14ac:dyDescent="0.4">
      <c r="B26" s="63" t="s">
        <v>173</v>
      </c>
      <c r="C26" s="78">
        <f t="shared" ref="C26:N26" si="6">C27</f>
        <v>0</v>
      </c>
      <c r="D26" s="78">
        <f t="shared" si="6"/>
        <v>0</v>
      </c>
      <c r="E26" s="78">
        <f t="shared" si="6"/>
        <v>0</v>
      </c>
      <c r="F26" s="78">
        <f t="shared" si="6"/>
        <v>0</v>
      </c>
      <c r="G26" s="78">
        <f t="shared" si="6"/>
        <v>0</v>
      </c>
      <c r="H26" s="78">
        <f t="shared" si="6"/>
        <v>0</v>
      </c>
      <c r="I26" s="78">
        <f t="shared" si="6"/>
        <v>0</v>
      </c>
      <c r="J26" s="78">
        <f t="shared" si="6"/>
        <v>0</v>
      </c>
      <c r="K26" s="78">
        <f t="shared" si="6"/>
        <v>0</v>
      </c>
      <c r="L26" s="78">
        <f t="shared" si="6"/>
        <v>0</v>
      </c>
      <c r="M26" s="78">
        <f t="shared" si="6"/>
        <v>0</v>
      </c>
      <c r="N26" s="78">
        <f t="shared" si="6"/>
        <v>0</v>
      </c>
      <c r="O26" s="78">
        <f>SUM(C26:N26)</f>
        <v>0</v>
      </c>
    </row>
    <row r="27" spans="2:15" x14ac:dyDescent="0.35">
      <c r="B27" s="19" t="s">
        <v>174</v>
      </c>
      <c r="C27" s="42">
        <f>+'Proy Vtas'!C50</f>
        <v>0</v>
      </c>
      <c r="D27" s="42">
        <f>+'Proy Vtas'!D50</f>
        <v>0</v>
      </c>
      <c r="E27" s="42">
        <f>+'Proy Vtas'!E50</f>
        <v>0</v>
      </c>
      <c r="F27" s="42">
        <f>+'Proy Vtas'!F50</f>
        <v>0</v>
      </c>
      <c r="G27" s="42">
        <f>+'Proy Vtas'!G50</f>
        <v>0</v>
      </c>
      <c r="H27" s="42">
        <f>+'Proy Vtas'!H50</f>
        <v>0</v>
      </c>
      <c r="I27" s="42">
        <f>+'Proy Vtas'!I50</f>
        <v>0</v>
      </c>
      <c r="J27" s="42">
        <f>+'Proy Vtas'!J50</f>
        <v>0</v>
      </c>
      <c r="K27" s="42">
        <f>+'Proy Vtas'!K50</f>
        <v>0</v>
      </c>
      <c r="L27" s="42">
        <f>+'Proy Vtas'!L50</f>
        <v>0</v>
      </c>
      <c r="M27" s="42">
        <f>+'Proy Vtas'!M50</f>
        <v>0</v>
      </c>
      <c r="N27" s="42">
        <f>+'Proy Vtas'!N50</f>
        <v>0</v>
      </c>
      <c r="O27" s="42"/>
    </row>
    <row r="28" spans="2:15" ht="13.15" x14ac:dyDescent="0.4">
      <c r="B28" s="63" t="s">
        <v>175</v>
      </c>
      <c r="C28" s="113">
        <f>+C30</f>
        <v>2800</v>
      </c>
      <c r="D28" s="113">
        <f t="shared" ref="D28:N28" si="7">+D30</f>
        <v>2800</v>
      </c>
      <c r="E28" s="113">
        <f t="shared" si="7"/>
        <v>2800</v>
      </c>
      <c r="F28" s="113">
        <f t="shared" si="7"/>
        <v>2800</v>
      </c>
      <c r="G28" s="113">
        <f t="shared" si="7"/>
        <v>2800</v>
      </c>
      <c r="H28" s="113">
        <f t="shared" si="7"/>
        <v>2800</v>
      </c>
      <c r="I28" s="113">
        <f t="shared" si="7"/>
        <v>2800</v>
      </c>
      <c r="J28" s="113">
        <f t="shared" si="7"/>
        <v>2800</v>
      </c>
      <c r="K28" s="113">
        <f t="shared" si="7"/>
        <v>2800</v>
      </c>
      <c r="L28" s="113">
        <f t="shared" si="7"/>
        <v>2800</v>
      </c>
      <c r="M28" s="113">
        <f t="shared" si="7"/>
        <v>2800</v>
      </c>
      <c r="N28" s="113">
        <f t="shared" si="7"/>
        <v>2800</v>
      </c>
      <c r="O28" s="78">
        <f>SUM(C28:N28)</f>
        <v>33600</v>
      </c>
    </row>
    <row r="29" spans="2:15" x14ac:dyDescent="0.35">
      <c r="B29" s="45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</row>
    <row r="30" spans="2:15" x14ac:dyDescent="0.35">
      <c r="B30" s="44" t="s">
        <v>156</v>
      </c>
      <c r="C30" s="42">
        <f>+C34+C35</f>
        <v>2800</v>
      </c>
      <c r="D30" s="42">
        <f t="shared" ref="D30:N30" si="8">+D34+D35</f>
        <v>2800</v>
      </c>
      <c r="E30" s="42">
        <f t="shared" si="8"/>
        <v>2800</v>
      </c>
      <c r="F30" s="42">
        <f t="shared" si="8"/>
        <v>2800</v>
      </c>
      <c r="G30" s="42">
        <f t="shared" si="8"/>
        <v>2800</v>
      </c>
      <c r="H30" s="42">
        <f t="shared" si="8"/>
        <v>2800</v>
      </c>
      <c r="I30" s="42">
        <f t="shared" si="8"/>
        <v>2800</v>
      </c>
      <c r="J30" s="42">
        <f t="shared" si="8"/>
        <v>2800</v>
      </c>
      <c r="K30" s="42">
        <f t="shared" si="8"/>
        <v>2800</v>
      </c>
      <c r="L30" s="42">
        <f t="shared" si="8"/>
        <v>2800</v>
      </c>
      <c r="M30" s="42">
        <f t="shared" si="8"/>
        <v>2800</v>
      </c>
      <c r="N30" s="42">
        <f t="shared" si="8"/>
        <v>2800</v>
      </c>
      <c r="O30" s="42"/>
    </row>
    <row r="31" spans="2:15" x14ac:dyDescent="0.35">
      <c r="B31" s="43" t="s">
        <v>176</v>
      </c>
      <c r="C31" s="42">
        <f>+'Costos totales'!C42</f>
        <v>2890.833333333333</v>
      </c>
      <c r="D31" s="42">
        <f>+'Costos totales'!D42</f>
        <v>2890.833333333333</v>
      </c>
      <c r="E31" s="42">
        <f>+'Costos totales'!E42</f>
        <v>2890.833333333333</v>
      </c>
      <c r="F31" s="42">
        <f>+'Costos totales'!F42</f>
        <v>2890.833333333333</v>
      </c>
      <c r="G31" s="42">
        <f>+'Costos totales'!G42</f>
        <v>2890.833333333333</v>
      </c>
      <c r="H31" s="42">
        <f>+'Costos totales'!H42</f>
        <v>2890.833333333333</v>
      </c>
      <c r="I31" s="42">
        <f>+'Costos totales'!I42</f>
        <v>2890.833333333333</v>
      </c>
      <c r="J31" s="42">
        <f>+'Costos totales'!J42</f>
        <v>2890.833333333333</v>
      </c>
      <c r="K31" s="42">
        <f>+'Costos totales'!K42</f>
        <v>2890.833333333333</v>
      </c>
      <c r="L31" s="42">
        <f>+'Costos totales'!L42</f>
        <v>2890.833333333333</v>
      </c>
      <c r="M31" s="42">
        <f>+'Costos totales'!M42</f>
        <v>2890.833333333333</v>
      </c>
      <c r="N31" s="42">
        <f>+'Costos totales'!N42</f>
        <v>2890.833333333333</v>
      </c>
      <c r="O31" s="42"/>
    </row>
    <row r="32" spans="2:15" x14ac:dyDescent="0.35">
      <c r="B32" s="43" t="s">
        <v>122</v>
      </c>
      <c r="C32" s="42">
        <f>-Inversiones!J50</f>
        <v>-41.666666666666664</v>
      </c>
      <c r="D32" s="42">
        <f>+C32</f>
        <v>-41.666666666666664</v>
      </c>
      <c r="E32" s="42">
        <f t="shared" ref="E32:N32" si="9">+D32</f>
        <v>-41.666666666666664</v>
      </c>
      <c r="F32" s="42">
        <f t="shared" si="9"/>
        <v>-41.666666666666664</v>
      </c>
      <c r="G32" s="42">
        <f t="shared" si="9"/>
        <v>-41.666666666666664</v>
      </c>
      <c r="H32" s="42">
        <f t="shared" si="9"/>
        <v>-41.666666666666664</v>
      </c>
      <c r="I32" s="42">
        <f t="shared" si="9"/>
        <v>-41.666666666666664</v>
      </c>
      <c r="J32" s="42">
        <f>+I32</f>
        <v>-41.666666666666664</v>
      </c>
      <c r="K32" s="42">
        <f t="shared" si="9"/>
        <v>-41.666666666666664</v>
      </c>
      <c r="L32" s="42">
        <f t="shared" si="9"/>
        <v>-41.666666666666664</v>
      </c>
      <c r="M32" s="42">
        <f t="shared" si="9"/>
        <v>-41.666666666666664</v>
      </c>
      <c r="N32" s="42">
        <f t="shared" si="9"/>
        <v>-41.666666666666664</v>
      </c>
      <c r="O32" s="42"/>
    </row>
    <row r="33" spans="2:15" x14ac:dyDescent="0.35">
      <c r="B33" s="43" t="s">
        <v>177</v>
      </c>
      <c r="C33" s="42">
        <f>-Inversiones!K60</f>
        <v>-49.166666666666664</v>
      </c>
      <c r="D33" s="42">
        <f>+C33</f>
        <v>-49.166666666666664</v>
      </c>
      <c r="E33" s="42">
        <f t="shared" ref="E33:N33" si="10">+D33</f>
        <v>-49.166666666666664</v>
      </c>
      <c r="F33" s="42">
        <f t="shared" si="10"/>
        <v>-49.166666666666664</v>
      </c>
      <c r="G33" s="42">
        <f t="shared" si="10"/>
        <v>-49.166666666666664</v>
      </c>
      <c r="H33" s="42">
        <f t="shared" si="10"/>
        <v>-49.166666666666664</v>
      </c>
      <c r="I33" s="42">
        <f t="shared" si="10"/>
        <v>-49.166666666666664</v>
      </c>
      <c r="J33" s="42">
        <f>+I33</f>
        <v>-49.166666666666664</v>
      </c>
      <c r="K33" s="42">
        <f t="shared" si="10"/>
        <v>-49.166666666666664</v>
      </c>
      <c r="L33" s="42">
        <f t="shared" si="10"/>
        <v>-49.166666666666664</v>
      </c>
      <c r="M33" s="42">
        <f t="shared" si="10"/>
        <v>-49.166666666666664</v>
      </c>
      <c r="N33" s="42">
        <f t="shared" si="10"/>
        <v>-49.166666666666664</v>
      </c>
      <c r="O33" s="42"/>
    </row>
    <row r="34" spans="2:15" x14ac:dyDescent="0.35">
      <c r="B34" s="43" t="s">
        <v>178</v>
      </c>
      <c r="C34" s="42">
        <f>SUM(C31:C33)</f>
        <v>2800</v>
      </c>
      <c r="D34" s="42">
        <f>SUM(D31:D33)</f>
        <v>2800</v>
      </c>
      <c r="E34" s="42">
        <f t="shared" ref="E34:N34" si="11">SUM(E31:E33)</f>
        <v>2800</v>
      </c>
      <c r="F34" s="42">
        <f t="shared" si="11"/>
        <v>2800</v>
      </c>
      <c r="G34" s="42">
        <f t="shared" si="11"/>
        <v>2800</v>
      </c>
      <c r="H34" s="42">
        <f t="shared" si="11"/>
        <v>2800</v>
      </c>
      <c r="I34" s="42">
        <f t="shared" si="11"/>
        <v>2800</v>
      </c>
      <c r="J34" s="42">
        <f t="shared" si="11"/>
        <v>2800</v>
      </c>
      <c r="K34" s="42">
        <f t="shared" si="11"/>
        <v>2800</v>
      </c>
      <c r="L34" s="42">
        <f t="shared" si="11"/>
        <v>2800</v>
      </c>
      <c r="M34" s="42">
        <f t="shared" si="11"/>
        <v>2800</v>
      </c>
      <c r="N34" s="42">
        <f t="shared" si="11"/>
        <v>2800</v>
      </c>
      <c r="O34" s="42"/>
    </row>
    <row r="35" spans="2:15" x14ac:dyDescent="0.35">
      <c r="B35" s="43" t="s">
        <v>179</v>
      </c>
      <c r="C35" s="42">
        <f>+'Costos totales'!C43</f>
        <v>0</v>
      </c>
      <c r="D35" s="42">
        <f>+'Costos totales'!D43</f>
        <v>0</v>
      </c>
      <c r="E35" s="42">
        <f>+'Costos totales'!E43</f>
        <v>0</v>
      </c>
      <c r="F35" s="42">
        <f>+'Costos totales'!F43</f>
        <v>0</v>
      </c>
      <c r="G35" s="42">
        <f>+'Costos totales'!G43</f>
        <v>0</v>
      </c>
      <c r="H35" s="42">
        <f>+'Costos totales'!H43</f>
        <v>0</v>
      </c>
      <c r="I35" s="42">
        <f>+'Costos totales'!I43</f>
        <v>0</v>
      </c>
      <c r="J35" s="42">
        <f>+'Costos totales'!J43</f>
        <v>0</v>
      </c>
      <c r="K35" s="42">
        <f>+'Costos totales'!K43</f>
        <v>0</v>
      </c>
      <c r="L35" s="42">
        <f>+'Costos totales'!L43</f>
        <v>0</v>
      </c>
      <c r="M35" s="42">
        <f>+'Costos totales'!M43</f>
        <v>0</v>
      </c>
      <c r="N35" s="42">
        <f>+'Costos totales'!N43</f>
        <v>0</v>
      </c>
      <c r="O35" s="42"/>
    </row>
    <row r="36" spans="2:15" ht="13.15" thickBot="1" x14ac:dyDescent="0.4">
      <c r="B36" s="41"/>
      <c r="C36" s="40"/>
      <c r="D36" s="40"/>
      <c r="E36" s="40"/>
      <c r="F36" s="40"/>
      <c r="G36" s="40"/>
      <c r="H36" s="40"/>
      <c r="I36" s="40"/>
      <c r="J36" s="40"/>
      <c r="K36" s="40"/>
      <c r="L36" s="40"/>
      <c r="M36" s="40"/>
      <c r="N36" s="40"/>
      <c r="O36" s="40"/>
    </row>
    <row r="37" spans="2:15" ht="13.5" thickBot="1" x14ac:dyDescent="0.45">
      <c r="B37" s="61" t="s">
        <v>180</v>
      </c>
      <c r="C37" s="79">
        <f t="shared" ref="C37:O37" si="12">+C26-C28</f>
        <v>-2800</v>
      </c>
      <c r="D37" s="79">
        <f t="shared" si="12"/>
        <v>-2800</v>
      </c>
      <c r="E37" s="79">
        <f t="shared" si="12"/>
        <v>-2800</v>
      </c>
      <c r="F37" s="79">
        <f t="shared" si="12"/>
        <v>-2800</v>
      </c>
      <c r="G37" s="79">
        <f t="shared" si="12"/>
        <v>-2800</v>
      </c>
      <c r="H37" s="79">
        <f t="shared" si="12"/>
        <v>-2800</v>
      </c>
      <c r="I37" s="79">
        <f t="shared" si="12"/>
        <v>-2800</v>
      </c>
      <c r="J37" s="79">
        <f t="shared" si="12"/>
        <v>-2800</v>
      </c>
      <c r="K37" s="79">
        <f t="shared" si="12"/>
        <v>-2800</v>
      </c>
      <c r="L37" s="79">
        <f t="shared" si="12"/>
        <v>-2800</v>
      </c>
      <c r="M37" s="79">
        <f t="shared" si="12"/>
        <v>-2800</v>
      </c>
      <c r="N37" s="79">
        <f t="shared" si="12"/>
        <v>-2800</v>
      </c>
      <c r="O37" s="79">
        <f t="shared" si="12"/>
        <v>-33600</v>
      </c>
    </row>
    <row r="40" spans="2:15" ht="15" x14ac:dyDescent="0.4">
      <c r="B40" s="137" t="s">
        <v>182</v>
      </c>
      <c r="C40" s="137"/>
      <c r="D40" s="137"/>
      <c r="E40" s="137"/>
      <c r="F40" s="137"/>
      <c r="G40" s="137"/>
      <c r="H40" s="137"/>
      <c r="I40" s="137"/>
      <c r="J40" s="137"/>
      <c r="K40" s="137"/>
      <c r="L40" s="137"/>
      <c r="M40" s="137"/>
      <c r="N40" s="137"/>
    </row>
    <row r="41" spans="2:15" ht="15" x14ac:dyDescent="0.4">
      <c r="B41" s="8" t="s">
        <v>172</v>
      </c>
      <c r="C41" s="137"/>
      <c r="D41" s="137"/>
      <c r="E41" s="137"/>
      <c r="F41" s="137"/>
      <c r="G41" s="137"/>
      <c r="H41" s="137"/>
      <c r="I41" s="137"/>
      <c r="J41" s="137"/>
      <c r="K41" s="137"/>
      <c r="L41" s="137"/>
      <c r="M41" s="137"/>
      <c r="N41" s="137"/>
    </row>
    <row r="42" spans="2:15" ht="15.4" thickBot="1" x14ac:dyDescent="0.45"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</row>
    <row r="43" spans="2:15" ht="13.5" thickBot="1" x14ac:dyDescent="0.45">
      <c r="B43" s="61" t="s">
        <v>77</v>
      </c>
      <c r="C43" s="62">
        <v>1</v>
      </c>
      <c r="D43" s="62">
        <v>2</v>
      </c>
      <c r="E43" s="62">
        <v>3</v>
      </c>
      <c r="F43" s="62">
        <v>4</v>
      </c>
      <c r="G43" s="62">
        <v>5</v>
      </c>
      <c r="H43" s="62">
        <v>6</v>
      </c>
      <c r="I43" s="62">
        <v>7</v>
      </c>
      <c r="J43" s="62">
        <v>8</v>
      </c>
      <c r="K43" s="62">
        <v>9</v>
      </c>
      <c r="L43" s="62">
        <v>10</v>
      </c>
      <c r="M43" s="62">
        <v>11</v>
      </c>
      <c r="N43" s="62">
        <v>12</v>
      </c>
      <c r="O43" s="62" t="s">
        <v>50</v>
      </c>
    </row>
    <row r="44" spans="2:15" ht="13.15" x14ac:dyDescent="0.4">
      <c r="B44" s="63" t="s">
        <v>173</v>
      </c>
      <c r="C44" s="78">
        <f t="shared" ref="C44:N44" si="13">C45</f>
        <v>0</v>
      </c>
      <c r="D44" s="78">
        <f t="shared" si="13"/>
        <v>0</v>
      </c>
      <c r="E44" s="78">
        <f t="shared" si="13"/>
        <v>0</v>
      </c>
      <c r="F44" s="78">
        <f t="shared" si="13"/>
        <v>0</v>
      </c>
      <c r="G44" s="78">
        <f t="shared" si="13"/>
        <v>0</v>
      </c>
      <c r="H44" s="78">
        <f t="shared" si="13"/>
        <v>0</v>
      </c>
      <c r="I44" s="78">
        <f t="shared" si="13"/>
        <v>0</v>
      </c>
      <c r="J44" s="78">
        <f t="shared" si="13"/>
        <v>0</v>
      </c>
      <c r="K44" s="78">
        <f t="shared" si="13"/>
        <v>0</v>
      </c>
      <c r="L44" s="78">
        <f t="shared" si="13"/>
        <v>0</v>
      </c>
      <c r="M44" s="78">
        <f t="shared" si="13"/>
        <v>0</v>
      </c>
      <c r="N44" s="78">
        <f t="shared" si="13"/>
        <v>0</v>
      </c>
      <c r="O44" s="78">
        <f>SUM(C44:N44)</f>
        <v>0</v>
      </c>
    </row>
    <row r="45" spans="2:15" x14ac:dyDescent="0.35">
      <c r="B45" s="19" t="s">
        <v>174</v>
      </c>
      <c r="C45" s="42">
        <f>+'Proy Vtas'!C72</f>
        <v>0</v>
      </c>
      <c r="D45" s="42">
        <f>+'Proy Vtas'!D72</f>
        <v>0</v>
      </c>
      <c r="E45" s="42">
        <f>+'Proy Vtas'!E72</f>
        <v>0</v>
      </c>
      <c r="F45" s="42">
        <f>+'Proy Vtas'!F72</f>
        <v>0</v>
      </c>
      <c r="G45" s="42">
        <f>+'Proy Vtas'!G72</f>
        <v>0</v>
      </c>
      <c r="H45" s="42">
        <f>+'Proy Vtas'!H72</f>
        <v>0</v>
      </c>
      <c r="I45" s="42">
        <f>+'Proy Vtas'!I72</f>
        <v>0</v>
      </c>
      <c r="J45" s="42">
        <f>+'Proy Vtas'!J72</f>
        <v>0</v>
      </c>
      <c r="K45" s="42">
        <f>+'Proy Vtas'!K72</f>
        <v>0</v>
      </c>
      <c r="L45" s="42">
        <f>+'Proy Vtas'!L72</f>
        <v>0</v>
      </c>
      <c r="M45" s="42">
        <f>+'Proy Vtas'!M72</f>
        <v>0</v>
      </c>
      <c r="N45" s="42">
        <f>+'Proy Vtas'!N72</f>
        <v>0</v>
      </c>
      <c r="O45" s="42"/>
    </row>
    <row r="46" spans="2:15" ht="13.15" x14ac:dyDescent="0.4">
      <c r="B46" s="63" t="s">
        <v>175</v>
      </c>
      <c r="C46" s="113">
        <f>+C48</f>
        <v>2800</v>
      </c>
      <c r="D46" s="113">
        <f t="shared" ref="D46:N46" si="14">+D48</f>
        <v>2800</v>
      </c>
      <c r="E46" s="113">
        <f t="shared" si="14"/>
        <v>2800</v>
      </c>
      <c r="F46" s="113">
        <f t="shared" si="14"/>
        <v>2800</v>
      </c>
      <c r="G46" s="113">
        <f t="shared" si="14"/>
        <v>2800</v>
      </c>
      <c r="H46" s="113">
        <f t="shared" si="14"/>
        <v>2800</v>
      </c>
      <c r="I46" s="113">
        <f t="shared" si="14"/>
        <v>2800</v>
      </c>
      <c r="J46" s="113">
        <f t="shared" si="14"/>
        <v>2800</v>
      </c>
      <c r="K46" s="113">
        <f t="shared" si="14"/>
        <v>2800</v>
      </c>
      <c r="L46" s="113">
        <f t="shared" si="14"/>
        <v>2800</v>
      </c>
      <c r="M46" s="113">
        <f t="shared" si="14"/>
        <v>2800</v>
      </c>
      <c r="N46" s="113">
        <f t="shared" si="14"/>
        <v>2800</v>
      </c>
      <c r="O46" s="78">
        <f>SUM(C46:N46)</f>
        <v>33600</v>
      </c>
    </row>
    <row r="47" spans="2:15" x14ac:dyDescent="0.35">
      <c r="B47" s="45"/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</row>
    <row r="48" spans="2:15" x14ac:dyDescent="0.35">
      <c r="B48" s="44" t="s">
        <v>156</v>
      </c>
      <c r="C48" s="42">
        <f>+C52+C53</f>
        <v>2800</v>
      </c>
      <c r="D48" s="42">
        <f t="shared" ref="D48:N48" si="15">+D52+D53</f>
        <v>2800</v>
      </c>
      <c r="E48" s="42">
        <f t="shared" si="15"/>
        <v>2800</v>
      </c>
      <c r="F48" s="42">
        <f t="shared" si="15"/>
        <v>2800</v>
      </c>
      <c r="G48" s="42">
        <f t="shared" si="15"/>
        <v>2800</v>
      </c>
      <c r="H48" s="42">
        <f t="shared" si="15"/>
        <v>2800</v>
      </c>
      <c r="I48" s="42">
        <f t="shared" si="15"/>
        <v>2800</v>
      </c>
      <c r="J48" s="42">
        <f t="shared" si="15"/>
        <v>2800</v>
      </c>
      <c r="K48" s="42">
        <f t="shared" si="15"/>
        <v>2800</v>
      </c>
      <c r="L48" s="42">
        <f t="shared" si="15"/>
        <v>2800</v>
      </c>
      <c r="M48" s="42">
        <f t="shared" si="15"/>
        <v>2800</v>
      </c>
      <c r="N48" s="42">
        <f t="shared" si="15"/>
        <v>2800</v>
      </c>
      <c r="O48" s="42"/>
    </row>
    <row r="49" spans="2:15" x14ac:dyDescent="0.35">
      <c r="B49" s="43" t="s">
        <v>176</v>
      </c>
      <c r="C49" s="42">
        <f>+'Costos totales'!C61</f>
        <v>2890.833333333333</v>
      </c>
      <c r="D49" s="42">
        <f>+'Costos totales'!D61</f>
        <v>2890.833333333333</v>
      </c>
      <c r="E49" s="42">
        <f>+'Costos totales'!E61</f>
        <v>2890.833333333333</v>
      </c>
      <c r="F49" s="42">
        <f>+'Costos totales'!F61</f>
        <v>2890.833333333333</v>
      </c>
      <c r="G49" s="42">
        <f>+'Costos totales'!G61</f>
        <v>2890.833333333333</v>
      </c>
      <c r="H49" s="42">
        <f>+'Costos totales'!H61</f>
        <v>2890.833333333333</v>
      </c>
      <c r="I49" s="42">
        <f>+'Costos totales'!I61</f>
        <v>2890.833333333333</v>
      </c>
      <c r="J49" s="42">
        <f>+'Costos totales'!J61</f>
        <v>2890.833333333333</v>
      </c>
      <c r="K49" s="42">
        <f>+'Costos totales'!K61</f>
        <v>2890.833333333333</v>
      </c>
      <c r="L49" s="42">
        <f>+'Costos totales'!L61</f>
        <v>2890.833333333333</v>
      </c>
      <c r="M49" s="42">
        <f>+'Costos totales'!M61</f>
        <v>2890.833333333333</v>
      </c>
      <c r="N49" s="42">
        <f>+'Costos totales'!N61</f>
        <v>2890.833333333333</v>
      </c>
      <c r="O49" s="42"/>
    </row>
    <row r="50" spans="2:15" x14ac:dyDescent="0.35">
      <c r="B50" s="43" t="s">
        <v>122</v>
      </c>
      <c r="C50" s="42">
        <f>-Inversiones!J50</f>
        <v>-41.666666666666664</v>
      </c>
      <c r="D50" s="42">
        <f>+C50</f>
        <v>-41.666666666666664</v>
      </c>
      <c r="E50" s="42">
        <f t="shared" ref="E50:N50" si="16">+D50</f>
        <v>-41.666666666666664</v>
      </c>
      <c r="F50" s="42">
        <f t="shared" si="16"/>
        <v>-41.666666666666664</v>
      </c>
      <c r="G50" s="42">
        <f t="shared" si="16"/>
        <v>-41.666666666666664</v>
      </c>
      <c r="H50" s="42">
        <f t="shared" si="16"/>
        <v>-41.666666666666664</v>
      </c>
      <c r="I50" s="42">
        <f t="shared" si="16"/>
        <v>-41.666666666666664</v>
      </c>
      <c r="J50" s="42">
        <f>+I50</f>
        <v>-41.666666666666664</v>
      </c>
      <c r="K50" s="42">
        <f t="shared" si="16"/>
        <v>-41.666666666666664</v>
      </c>
      <c r="L50" s="42">
        <f t="shared" si="16"/>
        <v>-41.666666666666664</v>
      </c>
      <c r="M50" s="42">
        <f t="shared" si="16"/>
        <v>-41.666666666666664</v>
      </c>
      <c r="N50" s="42">
        <f t="shared" si="16"/>
        <v>-41.666666666666664</v>
      </c>
      <c r="O50" s="42"/>
    </row>
    <row r="51" spans="2:15" x14ac:dyDescent="0.35">
      <c r="B51" s="43" t="s">
        <v>177</v>
      </c>
      <c r="C51" s="42">
        <f>-Inversiones!K60</f>
        <v>-49.166666666666664</v>
      </c>
      <c r="D51" s="42">
        <f>+C51</f>
        <v>-49.166666666666664</v>
      </c>
      <c r="E51" s="42">
        <f t="shared" ref="E51:N51" si="17">+D51</f>
        <v>-49.166666666666664</v>
      </c>
      <c r="F51" s="42">
        <f t="shared" si="17"/>
        <v>-49.166666666666664</v>
      </c>
      <c r="G51" s="42">
        <f t="shared" si="17"/>
        <v>-49.166666666666664</v>
      </c>
      <c r="H51" s="42">
        <f t="shared" si="17"/>
        <v>-49.166666666666664</v>
      </c>
      <c r="I51" s="42">
        <f t="shared" si="17"/>
        <v>-49.166666666666664</v>
      </c>
      <c r="J51" s="42">
        <f>+I51</f>
        <v>-49.166666666666664</v>
      </c>
      <c r="K51" s="42">
        <f t="shared" si="17"/>
        <v>-49.166666666666664</v>
      </c>
      <c r="L51" s="42">
        <f t="shared" si="17"/>
        <v>-49.166666666666664</v>
      </c>
      <c r="M51" s="42">
        <f t="shared" si="17"/>
        <v>-49.166666666666664</v>
      </c>
      <c r="N51" s="42">
        <f t="shared" si="17"/>
        <v>-49.166666666666664</v>
      </c>
      <c r="O51" s="42"/>
    </row>
    <row r="52" spans="2:15" x14ac:dyDescent="0.35">
      <c r="B52" s="43" t="s">
        <v>178</v>
      </c>
      <c r="C52" s="42">
        <f>SUM(C49:C51)</f>
        <v>2800</v>
      </c>
      <c r="D52" s="42">
        <f>SUM(D49:D51)</f>
        <v>2800</v>
      </c>
      <c r="E52" s="42">
        <f t="shared" ref="E52:N52" si="18">SUM(E49:E51)</f>
        <v>2800</v>
      </c>
      <c r="F52" s="42">
        <f t="shared" si="18"/>
        <v>2800</v>
      </c>
      <c r="G52" s="42">
        <f t="shared" si="18"/>
        <v>2800</v>
      </c>
      <c r="H52" s="42">
        <f t="shared" si="18"/>
        <v>2800</v>
      </c>
      <c r="I52" s="42">
        <f t="shared" si="18"/>
        <v>2800</v>
      </c>
      <c r="J52" s="42">
        <f t="shared" si="18"/>
        <v>2800</v>
      </c>
      <c r="K52" s="42">
        <f t="shared" si="18"/>
        <v>2800</v>
      </c>
      <c r="L52" s="42">
        <f t="shared" si="18"/>
        <v>2800</v>
      </c>
      <c r="M52" s="42">
        <f t="shared" si="18"/>
        <v>2800</v>
      </c>
      <c r="N52" s="42">
        <f t="shared" si="18"/>
        <v>2800</v>
      </c>
      <c r="O52" s="42"/>
    </row>
    <row r="53" spans="2:15" x14ac:dyDescent="0.35">
      <c r="B53" s="43" t="s">
        <v>179</v>
      </c>
      <c r="C53" s="42">
        <f>+'Costos totales'!C62</f>
        <v>0</v>
      </c>
      <c r="D53" s="42">
        <f>+'Costos totales'!D62</f>
        <v>0</v>
      </c>
      <c r="E53" s="42">
        <f>+'Costos totales'!E62</f>
        <v>0</v>
      </c>
      <c r="F53" s="42">
        <f>+'Costos totales'!F62</f>
        <v>0</v>
      </c>
      <c r="G53" s="42">
        <f>+'Costos totales'!G62</f>
        <v>0</v>
      </c>
      <c r="H53" s="42">
        <f>+'Costos totales'!H62</f>
        <v>0</v>
      </c>
      <c r="I53" s="42">
        <f>+'Costos totales'!I62</f>
        <v>0</v>
      </c>
      <c r="J53" s="42">
        <f>+'Costos totales'!J62</f>
        <v>0</v>
      </c>
      <c r="K53" s="42">
        <f>+'Costos totales'!K62</f>
        <v>0</v>
      </c>
      <c r="L53" s="42">
        <f>+'Costos totales'!L62</f>
        <v>0</v>
      </c>
      <c r="M53" s="42">
        <f>+'Costos totales'!M62</f>
        <v>0</v>
      </c>
      <c r="N53" s="42">
        <f>+'Costos totales'!N62</f>
        <v>0</v>
      </c>
      <c r="O53" s="42"/>
    </row>
    <row r="54" spans="2:15" ht="13.15" thickBot="1" x14ac:dyDescent="0.4">
      <c r="B54" s="41"/>
      <c r="C54" s="40"/>
      <c r="D54" s="40"/>
      <c r="E54" s="40"/>
      <c r="F54" s="40"/>
      <c r="G54" s="40"/>
      <c r="H54" s="40"/>
      <c r="I54" s="40"/>
      <c r="J54" s="40"/>
      <c r="K54" s="40"/>
      <c r="L54" s="40"/>
      <c r="M54" s="40"/>
      <c r="N54" s="40"/>
      <c r="O54" s="40"/>
    </row>
    <row r="55" spans="2:15" ht="13.5" thickBot="1" x14ac:dyDescent="0.45">
      <c r="B55" s="61" t="s">
        <v>180</v>
      </c>
      <c r="C55" s="79">
        <f t="shared" ref="C55:O55" si="19">+C44-C46</f>
        <v>-2800</v>
      </c>
      <c r="D55" s="79">
        <f t="shared" si="19"/>
        <v>-2800</v>
      </c>
      <c r="E55" s="79">
        <f t="shared" si="19"/>
        <v>-2800</v>
      </c>
      <c r="F55" s="79">
        <f t="shared" si="19"/>
        <v>-2800</v>
      </c>
      <c r="G55" s="79">
        <f t="shared" si="19"/>
        <v>-2800</v>
      </c>
      <c r="H55" s="79">
        <f t="shared" si="19"/>
        <v>-2800</v>
      </c>
      <c r="I55" s="79">
        <f t="shared" si="19"/>
        <v>-2800</v>
      </c>
      <c r="J55" s="79">
        <f t="shared" si="19"/>
        <v>-2800</v>
      </c>
      <c r="K55" s="79">
        <f t="shared" si="19"/>
        <v>-2800</v>
      </c>
      <c r="L55" s="79">
        <f t="shared" si="19"/>
        <v>-2800</v>
      </c>
      <c r="M55" s="79">
        <f t="shared" si="19"/>
        <v>-2800</v>
      </c>
      <c r="N55" s="79">
        <f t="shared" si="19"/>
        <v>-2800</v>
      </c>
      <c r="O55" s="79">
        <f t="shared" si="19"/>
        <v>-33600</v>
      </c>
    </row>
    <row r="58" spans="2:15" ht="15" x14ac:dyDescent="0.4">
      <c r="B58" s="137" t="s">
        <v>183</v>
      </c>
      <c r="C58" s="137"/>
      <c r="D58" s="137"/>
      <c r="E58" s="137"/>
      <c r="F58" s="137"/>
      <c r="G58" s="137"/>
      <c r="H58" s="137"/>
      <c r="I58" s="137"/>
      <c r="J58" s="137"/>
      <c r="K58" s="137"/>
      <c r="L58" s="137"/>
      <c r="M58" s="137"/>
      <c r="N58" s="137"/>
    </row>
    <row r="59" spans="2:15" ht="15" x14ac:dyDescent="0.4">
      <c r="B59" s="8" t="s">
        <v>172</v>
      </c>
      <c r="C59" s="137"/>
      <c r="D59" s="137"/>
      <c r="E59" s="137"/>
      <c r="F59" s="137"/>
      <c r="G59" s="137"/>
      <c r="H59" s="137"/>
      <c r="I59" s="137"/>
      <c r="J59" s="137"/>
      <c r="K59" s="137"/>
      <c r="L59" s="137"/>
      <c r="M59" s="137"/>
      <c r="N59" s="137"/>
    </row>
    <row r="60" spans="2:15" ht="15.4" thickBot="1" x14ac:dyDescent="0.45"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</row>
    <row r="61" spans="2:15" ht="13.5" thickBot="1" x14ac:dyDescent="0.45">
      <c r="B61" s="61" t="s">
        <v>77</v>
      </c>
      <c r="C61" s="62">
        <v>1</v>
      </c>
      <c r="D61" s="62">
        <v>2</v>
      </c>
      <c r="E61" s="62">
        <v>3</v>
      </c>
      <c r="F61" s="62">
        <v>4</v>
      </c>
      <c r="G61" s="62">
        <v>5</v>
      </c>
      <c r="H61" s="62">
        <v>6</v>
      </c>
      <c r="I61" s="62">
        <v>7</v>
      </c>
      <c r="J61" s="62">
        <v>8</v>
      </c>
      <c r="K61" s="62">
        <v>9</v>
      </c>
      <c r="L61" s="62">
        <v>10</v>
      </c>
      <c r="M61" s="62">
        <v>11</v>
      </c>
      <c r="N61" s="62">
        <v>12</v>
      </c>
      <c r="O61" s="62" t="s">
        <v>50</v>
      </c>
    </row>
    <row r="62" spans="2:15" ht="13.15" x14ac:dyDescent="0.4">
      <c r="B62" s="63" t="s">
        <v>173</v>
      </c>
      <c r="C62" s="78">
        <f t="shared" ref="C62:N62" si="20">C63</f>
        <v>0</v>
      </c>
      <c r="D62" s="78">
        <f t="shared" si="20"/>
        <v>0</v>
      </c>
      <c r="E62" s="78">
        <f t="shared" si="20"/>
        <v>0</v>
      </c>
      <c r="F62" s="78">
        <f t="shared" si="20"/>
        <v>0</v>
      </c>
      <c r="G62" s="78">
        <f t="shared" si="20"/>
        <v>0</v>
      </c>
      <c r="H62" s="78">
        <f t="shared" si="20"/>
        <v>0</v>
      </c>
      <c r="I62" s="78">
        <f t="shared" si="20"/>
        <v>0</v>
      </c>
      <c r="J62" s="78">
        <f t="shared" si="20"/>
        <v>0</v>
      </c>
      <c r="K62" s="78">
        <f t="shared" si="20"/>
        <v>0</v>
      </c>
      <c r="L62" s="78">
        <f t="shared" si="20"/>
        <v>0</v>
      </c>
      <c r="M62" s="78">
        <f t="shared" si="20"/>
        <v>0</v>
      </c>
      <c r="N62" s="78">
        <f t="shared" si="20"/>
        <v>0</v>
      </c>
      <c r="O62" s="78">
        <f>SUM(C62:N62)</f>
        <v>0</v>
      </c>
    </row>
    <row r="63" spans="2:15" x14ac:dyDescent="0.35">
      <c r="B63" s="19" t="s">
        <v>174</v>
      </c>
      <c r="C63" s="42">
        <f>+'Proy Vtas'!C94</f>
        <v>0</v>
      </c>
      <c r="D63" s="42">
        <f>+'Proy Vtas'!D94</f>
        <v>0</v>
      </c>
      <c r="E63" s="42">
        <f>+'Proy Vtas'!E94</f>
        <v>0</v>
      </c>
      <c r="F63" s="42">
        <f>+'Proy Vtas'!F94</f>
        <v>0</v>
      </c>
      <c r="G63" s="42">
        <f>+'Proy Vtas'!G94</f>
        <v>0</v>
      </c>
      <c r="H63" s="42">
        <f>+'Proy Vtas'!H94</f>
        <v>0</v>
      </c>
      <c r="I63" s="42">
        <f>+'Proy Vtas'!I94</f>
        <v>0</v>
      </c>
      <c r="J63" s="42">
        <f>+'Proy Vtas'!J94</f>
        <v>0</v>
      </c>
      <c r="K63" s="42">
        <f>+'Proy Vtas'!K94</f>
        <v>0</v>
      </c>
      <c r="L63" s="42">
        <f>+'Proy Vtas'!L94</f>
        <v>0</v>
      </c>
      <c r="M63" s="42">
        <f>+'Proy Vtas'!M94</f>
        <v>0</v>
      </c>
      <c r="N63" s="42">
        <f>+'Proy Vtas'!N94</f>
        <v>0</v>
      </c>
      <c r="O63" s="42"/>
    </row>
    <row r="64" spans="2:15" ht="13.15" x14ac:dyDescent="0.4">
      <c r="B64" s="63" t="s">
        <v>175</v>
      </c>
      <c r="C64" s="113">
        <f>+C66</f>
        <v>2800</v>
      </c>
      <c r="D64" s="113">
        <f t="shared" ref="D64:N64" si="21">+D66</f>
        <v>2800</v>
      </c>
      <c r="E64" s="113">
        <f t="shared" si="21"/>
        <v>2800</v>
      </c>
      <c r="F64" s="113">
        <f t="shared" si="21"/>
        <v>2800</v>
      </c>
      <c r="G64" s="113">
        <f t="shared" si="21"/>
        <v>2800</v>
      </c>
      <c r="H64" s="113">
        <f t="shared" si="21"/>
        <v>2800</v>
      </c>
      <c r="I64" s="113">
        <f t="shared" si="21"/>
        <v>2800</v>
      </c>
      <c r="J64" s="113">
        <f t="shared" si="21"/>
        <v>2800</v>
      </c>
      <c r="K64" s="113">
        <f t="shared" si="21"/>
        <v>2800</v>
      </c>
      <c r="L64" s="113">
        <f t="shared" si="21"/>
        <v>2800</v>
      </c>
      <c r="M64" s="113">
        <f t="shared" si="21"/>
        <v>2800</v>
      </c>
      <c r="N64" s="113">
        <f t="shared" si="21"/>
        <v>2800</v>
      </c>
      <c r="O64" s="78">
        <f>SUM(C64:N64)</f>
        <v>33600</v>
      </c>
    </row>
    <row r="65" spans="2:17" x14ac:dyDescent="0.35">
      <c r="B65" s="45"/>
      <c r="C65" s="42"/>
      <c r="D65" s="42"/>
      <c r="E65" s="42"/>
      <c r="F65" s="42"/>
      <c r="G65" s="42"/>
      <c r="H65" s="42"/>
      <c r="I65" s="42"/>
      <c r="J65" s="42"/>
      <c r="K65" s="42"/>
      <c r="L65" s="42"/>
      <c r="M65" s="42"/>
      <c r="N65" s="42"/>
      <c r="O65" s="42"/>
    </row>
    <row r="66" spans="2:17" x14ac:dyDescent="0.35">
      <c r="B66" s="44" t="s">
        <v>156</v>
      </c>
      <c r="C66" s="42">
        <f>+C70+C71</f>
        <v>2800</v>
      </c>
      <c r="D66" s="42">
        <f t="shared" ref="D66:N66" si="22">+D70+D71</f>
        <v>2800</v>
      </c>
      <c r="E66" s="42">
        <f t="shared" si="22"/>
        <v>2800</v>
      </c>
      <c r="F66" s="42">
        <f t="shared" si="22"/>
        <v>2800</v>
      </c>
      <c r="G66" s="42">
        <f t="shared" si="22"/>
        <v>2800</v>
      </c>
      <c r="H66" s="42">
        <f t="shared" si="22"/>
        <v>2800</v>
      </c>
      <c r="I66" s="42">
        <f t="shared" si="22"/>
        <v>2800</v>
      </c>
      <c r="J66" s="42">
        <f t="shared" si="22"/>
        <v>2800</v>
      </c>
      <c r="K66" s="42">
        <f t="shared" si="22"/>
        <v>2800</v>
      </c>
      <c r="L66" s="42">
        <f t="shared" si="22"/>
        <v>2800</v>
      </c>
      <c r="M66" s="42">
        <f t="shared" si="22"/>
        <v>2800</v>
      </c>
      <c r="N66" s="42">
        <f t="shared" si="22"/>
        <v>2800</v>
      </c>
      <c r="O66" s="42"/>
    </row>
    <row r="67" spans="2:17" x14ac:dyDescent="0.35">
      <c r="B67" s="43" t="s">
        <v>176</v>
      </c>
      <c r="C67" s="42">
        <f>+'Costos totales'!C80</f>
        <v>2890.833333333333</v>
      </c>
      <c r="D67" s="42">
        <f>+'Costos totales'!D80</f>
        <v>2890.833333333333</v>
      </c>
      <c r="E67" s="42">
        <f>+'Costos totales'!E80</f>
        <v>2890.833333333333</v>
      </c>
      <c r="F67" s="42">
        <f>+'Costos totales'!F80</f>
        <v>2890.833333333333</v>
      </c>
      <c r="G67" s="42">
        <f>+'Costos totales'!G80</f>
        <v>2890.833333333333</v>
      </c>
      <c r="H67" s="42">
        <f>+'Costos totales'!H80</f>
        <v>2890.833333333333</v>
      </c>
      <c r="I67" s="42">
        <f>+'Costos totales'!I80</f>
        <v>2890.833333333333</v>
      </c>
      <c r="J67" s="42">
        <f>+'Costos totales'!J80</f>
        <v>2890.833333333333</v>
      </c>
      <c r="K67" s="42">
        <f>+'Costos totales'!K80</f>
        <v>2890.833333333333</v>
      </c>
      <c r="L67" s="42">
        <f>+'Costos totales'!L80</f>
        <v>2890.833333333333</v>
      </c>
      <c r="M67" s="42">
        <f>+'Costos totales'!M80</f>
        <v>2890.833333333333</v>
      </c>
      <c r="N67" s="42">
        <f>+'Costos totales'!N80</f>
        <v>2890.833333333333</v>
      </c>
      <c r="O67" s="42"/>
    </row>
    <row r="68" spans="2:17" ht="13.15" x14ac:dyDescent="0.4">
      <c r="B68" s="43" t="s">
        <v>122</v>
      </c>
      <c r="C68" s="42">
        <f>-Inversiones!J50</f>
        <v>-41.666666666666664</v>
      </c>
      <c r="D68" s="42">
        <f t="shared" ref="D68:N68" si="23">+C68</f>
        <v>-41.666666666666664</v>
      </c>
      <c r="E68" s="42">
        <f t="shared" si="23"/>
        <v>-41.666666666666664</v>
      </c>
      <c r="F68" s="42">
        <f t="shared" si="23"/>
        <v>-41.666666666666664</v>
      </c>
      <c r="G68" s="42">
        <f t="shared" si="23"/>
        <v>-41.666666666666664</v>
      </c>
      <c r="H68" s="42">
        <f t="shared" si="23"/>
        <v>-41.666666666666664</v>
      </c>
      <c r="I68" s="42">
        <f t="shared" si="23"/>
        <v>-41.666666666666664</v>
      </c>
      <c r="J68" s="42">
        <f t="shared" si="23"/>
        <v>-41.666666666666664</v>
      </c>
      <c r="K68" s="42">
        <f t="shared" si="23"/>
        <v>-41.666666666666664</v>
      </c>
      <c r="L68" s="42">
        <f t="shared" si="23"/>
        <v>-41.666666666666664</v>
      </c>
      <c r="M68" s="42">
        <f t="shared" si="23"/>
        <v>-41.666666666666664</v>
      </c>
      <c r="N68" s="42">
        <f t="shared" si="23"/>
        <v>-41.666666666666664</v>
      </c>
      <c r="O68" s="42"/>
      <c r="Q68" s="2" t="s">
        <v>184</v>
      </c>
    </row>
    <row r="69" spans="2:17" x14ac:dyDescent="0.35">
      <c r="B69" s="43" t="s">
        <v>177</v>
      </c>
      <c r="C69" s="42">
        <f>-Inversiones!K60</f>
        <v>-49.166666666666664</v>
      </c>
      <c r="D69" s="42">
        <f>+C69</f>
        <v>-49.166666666666664</v>
      </c>
      <c r="E69" s="42">
        <f t="shared" ref="E69:N69" si="24">+D69</f>
        <v>-49.166666666666664</v>
      </c>
      <c r="F69" s="42">
        <f t="shared" si="24"/>
        <v>-49.166666666666664</v>
      </c>
      <c r="G69" s="42">
        <f t="shared" si="24"/>
        <v>-49.166666666666664</v>
      </c>
      <c r="H69" s="42">
        <f t="shared" si="24"/>
        <v>-49.166666666666664</v>
      </c>
      <c r="I69" s="42">
        <f t="shared" si="24"/>
        <v>-49.166666666666664</v>
      </c>
      <c r="J69" s="42">
        <f>+I69</f>
        <v>-49.166666666666664</v>
      </c>
      <c r="K69" s="42">
        <f t="shared" si="24"/>
        <v>-49.166666666666664</v>
      </c>
      <c r="L69" s="42">
        <f t="shared" si="24"/>
        <v>-49.166666666666664</v>
      </c>
      <c r="M69" s="42">
        <f t="shared" si="24"/>
        <v>-49.166666666666664</v>
      </c>
      <c r="N69" s="42">
        <f t="shared" si="24"/>
        <v>-49.166666666666664</v>
      </c>
      <c r="O69" s="42"/>
      <c r="Q69" s="2" t="s">
        <v>185</v>
      </c>
    </row>
    <row r="70" spans="2:17" x14ac:dyDescent="0.35">
      <c r="B70" s="43" t="s">
        <v>178</v>
      </c>
      <c r="C70" s="42">
        <f>SUM(C67:C69)</f>
        <v>2800</v>
      </c>
      <c r="D70" s="42">
        <f>SUM(D67:D69)</f>
        <v>2800</v>
      </c>
      <c r="E70" s="42">
        <f t="shared" ref="E70:N70" si="25">SUM(E67:E69)</f>
        <v>2800</v>
      </c>
      <c r="F70" s="42">
        <f t="shared" si="25"/>
        <v>2800</v>
      </c>
      <c r="G70" s="42">
        <f t="shared" si="25"/>
        <v>2800</v>
      </c>
      <c r="H70" s="42">
        <f t="shared" si="25"/>
        <v>2800</v>
      </c>
      <c r="I70" s="42">
        <f t="shared" si="25"/>
        <v>2800</v>
      </c>
      <c r="J70" s="42">
        <f t="shared" si="25"/>
        <v>2800</v>
      </c>
      <c r="K70" s="42">
        <f t="shared" si="25"/>
        <v>2800</v>
      </c>
      <c r="L70" s="42">
        <f t="shared" si="25"/>
        <v>2800</v>
      </c>
      <c r="M70" s="42">
        <f t="shared" si="25"/>
        <v>2800</v>
      </c>
      <c r="N70" s="42">
        <f t="shared" si="25"/>
        <v>2800</v>
      </c>
      <c r="O70" s="42"/>
    </row>
    <row r="71" spans="2:17" x14ac:dyDescent="0.35">
      <c r="B71" s="43" t="s">
        <v>179</v>
      </c>
      <c r="C71" s="42">
        <f>+'Costos totales'!C81</f>
        <v>0</v>
      </c>
      <c r="D71" s="42">
        <f>+'Costos totales'!D81</f>
        <v>0</v>
      </c>
      <c r="E71" s="42">
        <f>+'Costos totales'!E81</f>
        <v>0</v>
      </c>
      <c r="F71" s="42">
        <f>+'Costos totales'!F81</f>
        <v>0</v>
      </c>
      <c r="G71" s="42">
        <f>+'Costos totales'!G81</f>
        <v>0</v>
      </c>
      <c r="H71" s="42">
        <f>+'Costos totales'!H81</f>
        <v>0</v>
      </c>
      <c r="I71" s="42">
        <f>+'Costos totales'!I81</f>
        <v>0</v>
      </c>
      <c r="J71" s="42">
        <f>+'Costos totales'!J81</f>
        <v>0</v>
      </c>
      <c r="K71" s="42">
        <f>+'Costos totales'!K81</f>
        <v>0</v>
      </c>
      <c r="L71" s="42">
        <f>+'Costos totales'!L81</f>
        <v>0</v>
      </c>
      <c r="M71" s="42">
        <f>+'Costos totales'!M81</f>
        <v>0</v>
      </c>
      <c r="N71" s="42">
        <f>+'Costos totales'!N81</f>
        <v>0</v>
      </c>
      <c r="O71" s="42"/>
    </row>
    <row r="72" spans="2:17" ht="13.15" thickBot="1" x14ac:dyDescent="0.4">
      <c r="B72" s="41"/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O72" s="40"/>
    </row>
    <row r="73" spans="2:17" ht="13.5" thickBot="1" x14ac:dyDescent="0.45">
      <c r="B73" s="61" t="s">
        <v>180</v>
      </c>
      <c r="C73" s="79">
        <f t="shared" ref="C73:O73" si="26">+C62-C64</f>
        <v>-2800</v>
      </c>
      <c r="D73" s="79">
        <f t="shared" si="26"/>
        <v>-2800</v>
      </c>
      <c r="E73" s="79">
        <f t="shared" si="26"/>
        <v>-2800</v>
      </c>
      <c r="F73" s="79">
        <f t="shared" si="26"/>
        <v>-2800</v>
      </c>
      <c r="G73" s="79">
        <f t="shared" si="26"/>
        <v>-2800</v>
      </c>
      <c r="H73" s="79">
        <f t="shared" si="26"/>
        <v>-2800</v>
      </c>
      <c r="I73" s="79">
        <f t="shared" si="26"/>
        <v>-2800</v>
      </c>
      <c r="J73" s="79">
        <f t="shared" si="26"/>
        <v>-2800</v>
      </c>
      <c r="K73" s="79">
        <f t="shared" si="26"/>
        <v>-2800</v>
      </c>
      <c r="L73" s="79">
        <f t="shared" si="26"/>
        <v>-2800</v>
      </c>
      <c r="M73" s="79">
        <f t="shared" si="26"/>
        <v>-2800</v>
      </c>
      <c r="N73" s="79">
        <f t="shared" si="26"/>
        <v>-2800</v>
      </c>
      <c r="O73" s="79">
        <f t="shared" si="26"/>
        <v>-33600</v>
      </c>
    </row>
    <row r="76" spans="2:17" ht="15" x14ac:dyDescent="0.4">
      <c r="B76" s="137" t="s">
        <v>186</v>
      </c>
      <c r="C76" s="137"/>
      <c r="D76" s="137"/>
      <c r="E76" s="137"/>
      <c r="F76" s="137"/>
      <c r="G76" s="137"/>
      <c r="H76" s="137"/>
      <c r="I76" s="137"/>
      <c r="J76" s="137"/>
      <c r="K76" s="137"/>
      <c r="L76" s="137"/>
      <c r="M76" s="137"/>
      <c r="N76" s="137"/>
    </row>
    <row r="77" spans="2:17" ht="15" x14ac:dyDescent="0.4">
      <c r="B77" s="8" t="s">
        <v>172</v>
      </c>
      <c r="C77" s="137"/>
      <c r="D77" s="137"/>
      <c r="E77" s="137"/>
      <c r="F77" s="137"/>
      <c r="G77" s="137"/>
      <c r="H77" s="137"/>
      <c r="I77" s="137"/>
      <c r="J77" s="137"/>
      <c r="K77" s="137"/>
      <c r="L77" s="137"/>
      <c r="M77" s="137"/>
      <c r="N77" s="137"/>
    </row>
    <row r="78" spans="2:17" ht="15.4" thickBot="1" x14ac:dyDescent="0.45"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</row>
    <row r="79" spans="2:17" ht="13.5" thickBot="1" x14ac:dyDescent="0.45">
      <c r="B79" s="61" t="s">
        <v>77</v>
      </c>
      <c r="C79" s="62">
        <v>1</v>
      </c>
      <c r="D79" s="62">
        <v>2</v>
      </c>
      <c r="E79" s="62">
        <v>3</v>
      </c>
      <c r="F79" s="62">
        <v>4</v>
      </c>
      <c r="G79" s="62">
        <v>5</v>
      </c>
      <c r="H79" s="62">
        <v>6</v>
      </c>
      <c r="I79" s="62">
        <v>7</v>
      </c>
      <c r="J79" s="62">
        <v>8</v>
      </c>
      <c r="K79" s="62">
        <v>9</v>
      </c>
      <c r="L79" s="62">
        <v>10</v>
      </c>
      <c r="M79" s="62">
        <v>11</v>
      </c>
      <c r="N79" s="62">
        <v>12</v>
      </c>
      <c r="O79" s="62" t="s">
        <v>50</v>
      </c>
    </row>
    <row r="80" spans="2:17" ht="13.15" x14ac:dyDescent="0.4">
      <c r="B80" s="63" t="s">
        <v>173</v>
      </c>
      <c r="C80" s="78">
        <f t="shared" ref="C80:N80" si="27">C81</f>
        <v>0</v>
      </c>
      <c r="D80" s="78">
        <f t="shared" si="27"/>
        <v>0</v>
      </c>
      <c r="E80" s="78">
        <f t="shared" si="27"/>
        <v>0</v>
      </c>
      <c r="F80" s="78">
        <f t="shared" si="27"/>
        <v>0</v>
      </c>
      <c r="G80" s="78">
        <f t="shared" si="27"/>
        <v>0</v>
      </c>
      <c r="H80" s="78">
        <f t="shared" si="27"/>
        <v>0</v>
      </c>
      <c r="I80" s="78">
        <f t="shared" si="27"/>
        <v>0</v>
      </c>
      <c r="J80" s="78">
        <f t="shared" si="27"/>
        <v>0</v>
      </c>
      <c r="K80" s="78">
        <f t="shared" si="27"/>
        <v>0</v>
      </c>
      <c r="L80" s="78">
        <f t="shared" si="27"/>
        <v>0</v>
      </c>
      <c r="M80" s="78">
        <f t="shared" si="27"/>
        <v>0</v>
      </c>
      <c r="N80" s="78">
        <f t="shared" si="27"/>
        <v>0</v>
      </c>
      <c r="O80" s="78">
        <f>SUM(C80:N80)</f>
        <v>0</v>
      </c>
    </row>
    <row r="81" spans="2:15" x14ac:dyDescent="0.35">
      <c r="B81" s="19" t="s">
        <v>174</v>
      </c>
      <c r="C81" s="42">
        <f>+'Proy Vtas'!C116</f>
        <v>0</v>
      </c>
      <c r="D81" s="42">
        <f>+'Proy Vtas'!D116</f>
        <v>0</v>
      </c>
      <c r="E81" s="42">
        <f>+'Proy Vtas'!E116</f>
        <v>0</v>
      </c>
      <c r="F81" s="42">
        <f>+'Proy Vtas'!F116</f>
        <v>0</v>
      </c>
      <c r="G81" s="42">
        <f>+'Proy Vtas'!G116</f>
        <v>0</v>
      </c>
      <c r="H81" s="42">
        <f>+'Proy Vtas'!H116</f>
        <v>0</v>
      </c>
      <c r="I81" s="42">
        <f>+'Proy Vtas'!I116</f>
        <v>0</v>
      </c>
      <c r="J81" s="42">
        <f>+'Proy Vtas'!J116</f>
        <v>0</v>
      </c>
      <c r="K81" s="42">
        <f>+'Proy Vtas'!K116</f>
        <v>0</v>
      </c>
      <c r="L81" s="42">
        <f>+'Proy Vtas'!L116</f>
        <v>0</v>
      </c>
      <c r="M81" s="42">
        <f>+'Proy Vtas'!M116</f>
        <v>0</v>
      </c>
      <c r="N81" s="42">
        <f>+'Proy Vtas'!N116</f>
        <v>0</v>
      </c>
      <c r="O81" s="42"/>
    </row>
    <row r="82" spans="2:15" ht="13.15" x14ac:dyDescent="0.4">
      <c r="B82" s="63" t="s">
        <v>175</v>
      </c>
      <c r="C82" s="113">
        <f>+C84</f>
        <v>2800</v>
      </c>
      <c r="D82" s="113">
        <f t="shared" ref="D82:N82" si="28">+D84</f>
        <v>2800</v>
      </c>
      <c r="E82" s="113">
        <f t="shared" si="28"/>
        <v>2800</v>
      </c>
      <c r="F82" s="113">
        <f t="shared" si="28"/>
        <v>2800</v>
      </c>
      <c r="G82" s="113">
        <f t="shared" si="28"/>
        <v>2800</v>
      </c>
      <c r="H82" s="113">
        <f t="shared" si="28"/>
        <v>2800</v>
      </c>
      <c r="I82" s="113">
        <f t="shared" si="28"/>
        <v>2800</v>
      </c>
      <c r="J82" s="113">
        <f t="shared" si="28"/>
        <v>2800</v>
      </c>
      <c r="K82" s="113">
        <f t="shared" si="28"/>
        <v>2800</v>
      </c>
      <c r="L82" s="113">
        <f t="shared" si="28"/>
        <v>2800</v>
      </c>
      <c r="M82" s="113">
        <f t="shared" si="28"/>
        <v>2800</v>
      </c>
      <c r="N82" s="113">
        <f t="shared" si="28"/>
        <v>2800</v>
      </c>
      <c r="O82" s="78">
        <f>SUM(C82:N82)</f>
        <v>33600</v>
      </c>
    </row>
    <row r="83" spans="2:15" x14ac:dyDescent="0.35">
      <c r="B83" s="45"/>
      <c r="C83" s="42"/>
      <c r="D83" s="42"/>
      <c r="E83" s="42"/>
      <c r="F83" s="42"/>
      <c r="G83" s="42"/>
      <c r="H83" s="42"/>
      <c r="I83" s="42"/>
      <c r="J83" s="42"/>
      <c r="K83" s="42"/>
      <c r="L83" s="42"/>
      <c r="M83" s="42"/>
      <c r="N83" s="42"/>
      <c r="O83" s="42"/>
    </row>
    <row r="84" spans="2:15" x14ac:dyDescent="0.35">
      <c r="B84" s="44" t="s">
        <v>156</v>
      </c>
      <c r="C84" s="42">
        <f>+C88+C89</f>
        <v>2800</v>
      </c>
      <c r="D84" s="42">
        <f t="shared" ref="D84:N84" si="29">+D88+D89</f>
        <v>2800</v>
      </c>
      <c r="E84" s="42">
        <f t="shared" si="29"/>
        <v>2800</v>
      </c>
      <c r="F84" s="42">
        <f t="shared" si="29"/>
        <v>2800</v>
      </c>
      <c r="G84" s="42">
        <f t="shared" si="29"/>
        <v>2800</v>
      </c>
      <c r="H84" s="42">
        <f t="shared" si="29"/>
        <v>2800</v>
      </c>
      <c r="I84" s="42">
        <f t="shared" si="29"/>
        <v>2800</v>
      </c>
      <c r="J84" s="42">
        <f t="shared" si="29"/>
        <v>2800</v>
      </c>
      <c r="K84" s="42">
        <f t="shared" si="29"/>
        <v>2800</v>
      </c>
      <c r="L84" s="42">
        <f t="shared" si="29"/>
        <v>2800</v>
      </c>
      <c r="M84" s="42">
        <f t="shared" si="29"/>
        <v>2800</v>
      </c>
      <c r="N84" s="42">
        <f t="shared" si="29"/>
        <v>2800</v>
      </c>
      <c r="O84" s="42"/>
    </row>
    <row r="85" spans="2:15" x14ac:dyDescent="0.35">
      <c r="B85" s="43" t="s">
        <v>176</v>
      </c>
      <c r="C85" s="42">
        <f>+'Costos totales'!C99</f>
        <v>2890.833333333333</v>
      </c>
      <c r="D85" s="42">
        <f>+'Costos totales'!D99</f>
        <v>2890.833333333333</v>
      </c>
      <c r="E85" s="42">
        <f>+'Costos totales'!E99</f>
        <v>2890.833333333333</v>
      </c>
      <c r="F85" s="42">
        <f>+'Costos totales'!F99</f>
        <v>2890.833333333333</v>
      </c>
      <c r="G85" s="42">
        <f>+'Costos totales'!G99</f>
        <v>2890.833333333333</v>
      </c>
      <c r="H85" s="42">
        <f>+'Costos totales'!H99</f>
        <v>2890.833333333333</v>
      </c>
      <c r="I85" s="42">
        <f>+'Costos totales'!I99</f>
        <v>2890.833333333333</v>
      </c>
      <c r="J85" s="42">
        <f>+'Costos totales'!J99</f>
        <v>2890.833333333333</v>
      </c>
      <c r="K85" s="42">
        <f>+'Costos totales'!K99</f>
        <v>2890.833333333333</v>
      </c>
      <c r="L85" s="42">
        <f>+'Costos totales'!L99</f>
        <v>2890.833333333333</v>
      </c>
      <c r="M85" s="42">
        <f>+'Costos totales'!M99</f>
        <v>2890.833333333333</v>
      </c>
      <c r="N85" s="42">
        <f>+'Costos totales'!N99</f>
        <v>2890.833333333333</v>
      </c>
      <c r="O85" s="42"/>
    </row>
    <row r="86" spans="2:15" x14ac:dyDescent="0.35">
      <c r="B86" s="43" t="s">
        <v>122</v>
      </c>
      <c r="C86" s="42">
        <f>-Inversiones!J50</f>
        <v>-41.666666666666664</v>
      </c>
      <c r="D86" s="42">
        <f>+C86</f>
        <v>-41.666666666666664</v>
      </c>
      <c r="E86" s="42">
        <f t="shared" ref="E86:N86" si="30">+D86</f>
        <v>-41.666666666666664</v>
      </c>
      <c r="F86" s="42">
        <f t="shared" si="30"/>
        <v>-41.666666666666664</v>
      </c>
      <c r="G86" s="42">
        <f t="shared" si="30"/>
        <v>-41.666666666666664</v>
      </c>
      <c r="H86" s="42">
        <f t="shared" si="30"/>
        <v>-41.666666666666664</v>
      </c>
      <c r="I86" s="42">
        <f t="shared" si="30"/>
        <v>-41.666666666666664</v>
      </c>
      <c r="J86" s="42">
        <f>+I86</f>
        <v>-41.666666666666664</v>
      </c>
      <c r="K86" s="42">
        <f t="shared" si="30"/>
        <v>-41.666666666666664</v>
      </c>
      <c r="L86" s="42">
        <f t="shared" si="30"/>
        <v>-41.666666666666664</v>
      </c>
      <c r="M86" s="42">
        <f t="shared" si="30"/>
        <v>-41.666666666666664</v>
      </c>
      <c r="N86" s="42">
        <f t="shared" si="30"/>
        <v>-41.666666666666664</v>
      </c>
      <c r="O86" s="42"/>
    </row>
    <row r="87" spans="2:15" x14ac:dyDescent="0.35">
      <c r="B87" s="43" t="s">
        <v>177</v>
      </c>
      <c r="C87" s="42">
        <f>-Inversiones!K60</f>
        <v>-49.166666666666664</v>
      </c>
      <c r="D87" s="42">
        <f>+C87</f>
        <v>-49.166666666666664</v>
      </c>
      <c r="E87" s="42">
        <f t="shared" ref="E87:N87" si="31">+D87</f>
        <v>-49.166666666666664</v>
      </c>
      <c r="F87" s="42">
        <f t="shared" si="31"/>
        <v>-49.166666666666664</v>
      </c>
      <c r="G87" s="42">
        <f t="shared" si="31"/>
        <v>-49.166666666666664</v>
      </c>
      <c r="H87" s="42">
        <f t="shared" si="31"/>
        <v>-49.166666666666664</v>
      </c>
      <c r="I87" s="42">
        <f t="shared" si="31"/>
        <v>-49.166666666666664</v>
      </c>
      <c r="J87" s="42">
        <f>+I87</f>
        <v>-49.166666666666664</v>
      </c>
      <c r="K87" s="42">
        <f t="shared" si="31"/>
        <v>-49.166666666666664</v>
      </c>
      <c r="L87" s="42">
        <f t="shared" si="31"/>
        <v>-49.166666666666664</v>
      </c>
      <c r="M87" s="42">
        <f t="shared" si="31"/>
        <v>-49.166666666666664</v>
      </c>
      <c r="N87" s="42">
        <f t="shared" si="31"/>
        <v>-49.166666666666664</v>
      </c>
      <c r="O87" s="42"/>
    </row>
    <row r="88" spans="2:15" x14ac:dyDescent="0.35">
      <c r="B88" s="43" t="s">
        <v>178</v>
      </c>
      <c r="C88" s="42">
        <f>SUM(C85:C87)</f>
        <v>2800</v>
      </c>
      <c r="D88" s="42">
        <f>SUM(D85:D87)</f>
        <v>2800</v>
      </c>
      <c r="E88" s="42">
        <f t="shared" ref="E88:N88" si="32">SUM(E85:E87)</f>
        <v>2800</v>
      </c>
      <c r="F88" s="42">
        <f t="shared" si="32"/>
        <v>2800</v>
      </c>
      <c r="G88" s="42">
        <f t="shared" si="32"/>
        <v>2800</v>
      </c>
      <c r="H88" s="42">
        <f t="shared" si="32"/>
        <v>2800</v>
      </c>
      <c r="I88" s="42">
        <f t="shared" si="32"/>
        <v>2800</v>
      </c>
      <c r="J88" s="42">
        <f t="shared" si="32"/>
        <v>2800</v>
      </c>
      <c r="K88" s="42">
        <f t="shared" si="32"/>
        <v>2800</v>
      </c>
      <c r="L88" s="42">
        <f t="shared" si="32"/>
        <v>2800</v>
      </c>
      <c r="M88" s="42">
        <f t="shared" si="32"/>
        <v>2800</v>
      </c>
      <c r="N88" s="42">
        <f t="shared" si="32"/>
        <v>2800</v>
      </c>
      <c r="O88" s="42"/>
    </row>
    <row r="89" spans="2:15" x14ac:dyDescent="0.35">
      <c r="B89" s="43" t="s">
        <v>179</v>
      </c>
      <c r="C89" s="42">
        <f>+'Costos totales'!C100</f>
        <v>0</v>
      </c>
      <c r="D89" s="42">
        <f>+'Costos totales'!D100</f>
        <v>0</v>
      </c>
      <c r="E89" s="42">
        <f>+'Costos totales'!E100</f>
        <v>0</v>
      </c>
      <c r="F89" s="42">
        <f>+'Costos totales'!F100</f>
        <v>0</v>
      </c>
      <c r="G89" s="42">
        <f>+'Costos totales'!G100</f>
        <v>0</v>
      </c>
      <c r="H89" s="42">
        <f>+'Costos totales'!H100</f>
        <v>0</v>
      </c>
      <c r="I89" s="42">
        <f>+'Costos totales'!I100</f>
        <v>0</v>
      </c>
      <c r="J89" s="42">
        <f>+'Costos totales'!J100</f>
        <v>0</v>
      </c>
      <c r="K89" s="42">
        <f>+'Costos totales'!K100</f>
        <v>0</v>
      </c>
      <c r="L89" s="42">
        <f>+'Costos totales'!L100</f>
        <v>0</v>
      </c>
      <c r="M89" s="42">
        <f>+'Costos totales'!M100</f>
        <v>0</v>
      </c>
      <c r="N89" s="42">
        <f>+'Costos totales'!N100</f>
        <v>0</v>
      </c>
      <c r="O89" s="42"/>
    </row>
    <row r="90" spans="2:15" ht="13.15" thickBot="1" x14ac:dyDescent="0.4">
      <c r="B90" s="41"/>
      <c r="C90" s="40"/>
      <c r="D90" s="40"/>
      <c r="E90" s="40"/>
      <c r="F90" s="40"/>
      <c r="G90" s="40"/>
      <c r="H90" s="40"/>
      <c r="I90" s="40"/>
      <c r="J90" s="40"/>
      <c r="K90" s="40"/>
      <c r="L90" s="40"/>
      <c r="M90" s="40"/>
      <c r="N90" s="40"/>
      <c r="O90" s="40"/>
    </row>
    <row r="91" spans="2:15" ht="13.5" thickBot="1" x14ac:dyDescent="0.45">
      <c r="B91" s="61" t="s">
        <v>180</v>
      </c>
      <c r="C91" s="79">
        <f t="shared" ref="C91:O91" si="33">+C80-C82</f>
        <v>-2800</v>
      </c>
      <c r="D91" s="79">
        <f t="shared" si="33"/>
        <v>-2800</v>
      </c>
      <c r="E91" s="79">
        <f t="shared" si="33"/>
        <v>-2800</v>
      </c>
      <c r="F91" s="79">
        <f t="shared" si="33"/>
        <v>-2800</v>
      </c>
      <c r="G91" s="79">
        <f t="shared" si="33"/>
        <v>-2800</v>
      </c>
      <c r="H91" s="79">
        <f t="shared" si="33"/>
        <v>-2800</v>
      </c>
      <c r="I91" s="79">
        <f t="shared" si="33"/>
        <v>-2800</v>
      </c>
      <c r="J91" s="79">
        <f t="shared" si="33"/>
        <v>-2800</v>
      </c>
      <c r="K91" s="79">
        <f t="shared" si="33"/>
        <v>-2800</v>
      </c>
      <c r="L91" s="79">
        <f t="shared" si="33"/>
        <v>-2800</v>
      </c>
      <c r="M91" s="79">
        <f t="shared" si="33"/>
        <v>-2800</v>
      </c>
      <c r="N91" s="79">
        <f t="shared" si="33"/>
        <v>-2800</v>
      </c>
      <c r="O91" s="79">
        <f t="shared" si="33"/>
        <v>-33600</v>
      </c>
    </row>
    <row r="94" spans="2:15" ht="32.25" customHeight="1" x14ac:dyDescent="0.4">
      <c r="B94" s="305" t="s">
        <v>187</v>
      </c>
      <c r="C94" s="114"/>
      <c r="D94" s="114"/>
      <c r="E94" s="114"/>
      <c r="F94" s="114"/>
      <c r="G94" s="114"/>
      <c r="H94" s="114"/>
      <c r="I94"/>
    </row>
    <row r="95" spans="2:15" ht="13.15" x14ac:dyDescent="0.4">
      <c r="B95" s="8" t="s">
        <v>172</v>
      </c>
      <c r="C95" s="114"/>
      <c r="D95" s="114"/>
      <c r="E95" s="114"/>
      <c r="F95" s="114"/>
      <c r="G95" s="114"/>
      <c r="H95" s="114"/>
      <c r="I95"/>
    </row>
    <row r="96" spans="2:15" ht="13.15" thickBot="1" x14ac:dyDescent="0.4">
      <c r="B96"/>
      <c r="C96"/>
      <c r="D96"/>
      <c r="E96"/>
      <c r="F96"/>
      <c r="G96"/>
      <c r="H96"/>
      <c r="I96"/>
    </row>
    <row r="97" spans="2:8" ht="18.75" customHeight="1" thickBot="1" x14ac:dyDescent="0.4">
      <c r="B97" s="216"/>
      <c r="C97" s="324" t="s">
        <v>188</v>
      </c>
      <c r="D97" s="324" t="s">
        <v>189</v>
      </c>
      <c r="E97" s="324" t="s">
        <v>190</v>
      </c>
      <c r="F97" s="324" t="s">
        <v>191</v>
      </c>
      <c r="G97" s="324" t="s">
        <v>192</v>
      </c>
      <c r="H97" s="324" t="s">
        <v>193</v>
      </c>
    </row>
    <row r="98" spans="2:8" ht="14.25" x14ac:dyDescent="0.45">
      <c r="B98" s="115"/>
      <c r="C98" s="494"/>
      <c r="D98" s="494"/>
      <c r="E98" s="494"/>
      <c r="F98" s="494"/>
      <c r="G98" s="116" t="s">
        <v>194</v>
      </c>
      <c r="H98" s="116"/>
    </row>
    <row r="99" spans="2:8" ht="14.25" x14ac:dyDescent="0.45">
      <c r="B99" s="118" t="s">
        <v>195</v>
      </c>
      <c r="C99" s="494"/>
      <c r="D99" s="119"/>
      <c r="E99" s="119"/>
      <c r="F99" s="119"/>
      <c r="G99" s="119"/>
      <c r="H99" s="119"/>
    </row>
    <row r="100" spans="2:8" ht="14.25" x14ac:dyDescent="0.45">
      <c r="B100" s="351" t="s">
        <v>196</v>
      </c>
      <c r="C100" s="494"/>
      <c r="D100" s="122">
        <f>SUM(C8:N8)</f>
        <v>0</v>
      </c>
      <c r="E100" s="122">
        <f>SUM(C26:N26)</f>
        <v>0</v>
      </c>
      <c r="F100" s="122">
        <f>SUM(C44:N44)</f>
        <v>0</v>
      </c>
      <c r="G100" s="122">
        <f>SUM(C62:N62)</f>
        <v>0</v>
      </c>
      <c r="H100" s="122">
        <f>SUM(C80:N80)</f>
        <v>0</v>
      </c>
    </row>
    <row r="101" spans="2:8" ht="14.25" x14ac:dyDescent="0.45">
      <c r="B101" s="351" t="s">
        <v>197</v>
      </c>
      <c r="C101" s="494"/>
      <c r="D101" s="122"/>
      <c r="E101" s="122"/>
      <c r="F101" s="122"/>
      <c r="G101" s="122"/>
      <c r="H101" s="132">
        <f>+Inversiones!I52</f>
        <v>5000</v>
      </c>
    </row>
    <row r="102" spans="2:8" ht="14.25" x14ac:dyDescent="0.45">
      <c r="B102" s="351" t="s">
        <v>198</v>
      </c>
      <c r="C102" s="494"/>
      <c r="D102" s="122"/>
      <c r="E102" s="122"/>
      <c r="F102" s="122"/>
      <c r="G102" s="122"/>
      <c r="H102" s="349">
        <f>-C108</f>
        <v>-2890.833333333333</v>
      </c>
    </row>
    <row r="103" spans="2:8" ht="14.25" x14ac:dyDescent="0.45">
      <c r="B103" s="347" t="s">
        <v>199</v>
      </c>
      <c r="C103" s="348">
        <f t="shared" ref="C103:H103" si="34">SUM(C100:C102)</f>
        <v>0</v>
      </c>
      <c r="D103" s="348">
        <f t="shared" si="34"/>
        <v>0</v>
      </c>
      <c r="E103" s="348">
        <f t="shared" si="34"/>
        <v>0</v>
      </c>
      <c r="F103" s="348">
        <f t="shared" si="34"/>
        <v>0</v>
      </c>
      <c r="G103" s="348">
        <f t="shared" si="34"/>
        <v>0</v>
      </c>
      <c r="H103" s="348">
        <f t="shared" si="34"/>
        <v>2109.166666666667</v>
      </c>
    </row>
    <row r="104" spans="2:8" ht="13.15" x14ac:dyDescent="0.4">
      <c r="B104" s="127"/>
      <c r="C104" s="122" t="s">
        <v>194</v>
      </c>
      <c r="D104" s="122"/>
      <c r="E104" s="122"/>
      <c r="F104" s="122"/>
      <c r="G104" s="122"/>
      <c r="H104" s="122"/>
    </row>
    <row r="105" spans="2:8" ht="14.25" x14ac:dyDescent="0.45">
      <c r="B105" s="118" t="s">
        <v>200</v>
      </c>
      <c r="C105" s="122"/>
      <c r="D105" s="122"/>
      <c r="E105" s="122"/>
      <c r="F105" s="122"/>
      <c r="G105" s="122"/>
      <c r="H105" s="122"/>
    </row>
    <row r="106" spans="2:8" ht="13.15" x14ac:dyDescent="0.4">
      <c r="B106" s="121" t="s">
        <v>201</v>
      </c>
      <c r="C106" s="129">
        <f>SUM(C107:C109)</f>
        <v>16290.833333333332</v>
      </c>
      <c r="D106" s="129">
        <f t="shared" ref="D106:H106" si="35">SUM(D107:D109)</f>
        <v>0</v>
      </c>
      <c r="E106" s="129">
        <f t="shared" si="35"/>
        <v>0</v>
      </c>
      <c r="F106" s="129">
        <f t="shared" si="35"/>
        <v>0</v>
      </c>
      <c r="G106" s="129">
        <f t="shared" si="35"/>
        <v>0</v>
      </c>
      <c r="H106" s="129">
        <f t="shared" si="35"/>
        <v>0</v>
      </c>
    </row>
    <row r="107" spans="2:8" ht="13.15" x14ac:dyDescent="0.4">
      <c r="B107" s="350" t="s">
        <v>202</v>
      </c>
      <c r="C107" s="132">
        <f>+Inversiones!E10</f>
        <v>7500</v>
      </c>
      <c r="D107" s="132"/>
      <c r="E107" s="132"/>
      <c r="F107" s="132"/>
      <c r="G107" s="132"/>
      <c r="H107" s="132"/>
    </row>
    <row r="108" spans="2:8" ht="13.15" x14ac:dyDescent="0.4">
      <c r="B108" s="350" t="s">
        <v>203</v>
      </c>
      <c r="C108" s="132">
        <f>+Inversiones!E55</f>
        <v>2890.833333333333</v>
      </c>
      <c r="D108" s="132"/>
      <c r="E108" s="132"/>
      <c r="F108" s="132"/>
      <c r="G108" s="132"/>
      <c r="H108" s="132"/>
    </row>
    <row r="109" spans="2:8" ht="13.15" x14ac:dyDescent="0.4">
      <c r="B109" s="350" t="s">
        <v>204</v>
      </c>
      <c r="C109" s="132">
        <f>+Inversiones!E61</f>
        <v>5900</v>
      </c>
      <c r="D109" s="132" t="s">
        <v>194</v>
      </c>
      <c r="E109" s="132"/>
      <c r="F109" s="132"/>
      <c r="G109" s="132"/>
      <c r="H109" s="132"/>
    </row>
    <row r="110" spans="2:8" ht="13.15" x14ac:dyDescent="0.4">
      <c r="B110" s="131"/>
      <c r="C110" s="132"/>
      <c r="D110" s="132"/>
      <c r="E110" s="132"/>
      <c r="F110" s="132"/>
      <c r="G110" s="132"/>
      <c r="H110" s="132"/>
    </row>
    <row r="111" spans="2:8" ht="13.15" x14ac:dyDescent="0.4">
      <c r="B111" s="131"/>
      <c r="C111" s="132"/>
      <c r="D111" s="132"/>
      <c r="E111" s="132"/>
      <c r="F111" s="132"/>
      <c r="G111" s="132"/>
      <c r="H111" s="132"/>
    </row>
    <row r="112" spans="2:8" ht="13.15" x14ac:dyDescent="0.4">
      <c r="B112" s="121" t="s">
        <v>205</v>
      </c>
      <c r="C112" s="122"/>
      <c r="D112" s="129">
        <f>SUM(D114:D115)</f>
        <v>33600</v>
      </c>
      <c r="E112" s="129">
        <f>SUM(E114:E115)</f>
        <v>33600</v>
      </c>
      <c r="F112" s="129">
        <f>SUM(F114:F115)</f>
        <v>33600</v>
      </c>
      <c r="G112" s="129">
        <f>SUM(G114:G115)</f>
        <v>33600</v>
      </c>
      <c r="H112" s="129">
        <f>SUM(H114:H115)</f>
        <v>33600</v>
      </c>
    </row>
    <row r="113" spans="2:18" ht="13.15" x14ac:dyDescent="0.4">
      <c r="B113" s="121"/>
      <c r="C113" s="122"/>
      <c r="D113" s="122"/>
      <c r="E113" s="122"/>
      <c r="F113" s="122"/>
      <c r="G113" s="122"/>
      <c r="H113" s="122"/>
    </row>
    <row r="114" spans="2:18" ht="13.15" x14ac:dyDescent="0.4">
      <c r="B114" s="350" t="s">
        <v>206</v>
      </c>
      <c r="C114" s="132"/>
      <c r="D114" s="132">
        <f>SUM(C16:N16)</f>
        <v>33600</v>
      </c>
      <c r="E114" s="132">
        <f>SUM(C34:N34)</f>
        <v>33600</v>
      </c>
      <c r="F114" s="132">
        <f>SUM(C52:N52)</f>
        <v>33600</v>
      </c>
      <c r="G114" s="132">
        <f>SUM(C70:N70)</f>
        <v>33600</v>
      </c>
      <c r="H114" s="132">
        <f>SUM(C88:N88)</f>
        <v>33600</v>
      </c>
    </row>
    <row r="115" spans="2:18" ht="13.15" x14ac:dyDescent="0.4">
      <c r="B115" s="350" t="s">
        <v>207</v>
      </c>
      <c r="C115" s="132"/>
      <c r="D115" s="132">
        <f>SUM(C17:N17)</f>
        <v>0</v>
      </c>
      <c r="E115" s="132">
        <f>SUM(C35:N35)</f>
        <v>0</v>
      </c>
      <c r="F115" s="132">
        <f>SUM(C53:N53)</f>
        <v>0</v>
      </c>
      <c r="G115" s="132">
        <f>SUM(C71:N71)</f>
        <v>0</v>
      </c>
      <c r="H115" s="132">
        <f>SUM(C89:N89)</f>
        <v>0</v>
      </c>
    </row>
    <row r="116" spans="2:18" ht="13.15" x14ac:dyDescent="0.4">
      <c r="B116" s="124"/>
      <c r="C116" s="129"/>
      <c r="D116" s="129"/>
      <c r="E116" s="129"/>
      <c r="F116" s="129"/>
      <c r="G116" s="129"/>
      <c r="H116" s="129"/>
    </row>
    <row r="117" spans="2:18" ht="13.15" x14ac:dyDescent="0.4">
      <c r="B117" s="134" t="s">
        <v>208</v>
      </c>
      <c r="C117" s="135">
        <f t="shared" ref="C117:H117" si="36">+C112+SUM(C107:C110)</f>
        <v>16290.833333333332</v>
      </c>
      <c r="D117" s="135">
        <f t="shared" si="36"/>
        <v>33600</v>
      </c>
      <c r="E117" s="135">
        <f t="shared" si="36"/>
        <v>33600</v>
      </c>
      <c r="F117" s="135">
        <f t="shared" si="36"/>
        <v>33600</v>
      </c>
      <c r="G117" s="135">
        <f t="shared" si="36"/>
        <v>33600</v>
      </c>
      <c r="H117" s="135">
        <f t="shared" si="36"/>
        <v>33600</v>
      </c>
    </row>
    <row r="118" spans="2:18" ht="13.15" x14ac:dyDescent="0.4">
      <c r="B118" s="134" t="s">
        <v>209</v>
      </c>
      <c r="C118" s="135">
        <f t="shared" ref="C118:H118" si="37">+C103-C117</f>
        <v>-16290.833333333332</v>
      </c>
      <c r="D118" s="135">
        <f>+D103-D117</f>
        <v>-33600</v>
      </c>
      <c r="E118" s="135">
        <f t="shared" si="37"/>
        <v>-33600</v>
      </c>
      <c r="F118" s="135">
        <f t="shared" si="37"/>
        <v>-33600</v>
      </c>
      <c r="G118" s="135">
        <f t="shared" si="37"/>
        <v>-33600</v>
      </c>
      <c r="H118" s="135">
        <f t="shared" si="37"/>
        <v>-31490.833333333332</v>
      </c>
    </row>
    <row r="119" spans="2:18" ht="13.15" x14ac:dyDescent="0.4">
      <c r="B119" s="134" t="s">
        <v>311</v>
      </c>
      <c r="C119" s="135"/>
      <c r="D119" s="135">
        <f>+(D100-D112)*30%</f>
        <v>-10080</v>
      </c>
      <c r="E119" s="135">
        <f t="shared" ref="E119:H119" si="38">+(E100-E112)*30%</f>
        <v>-10080</v>
      </c>
      <c r="F119" s="135">
        <f t="shared" si="38"/>
        <v>-10080</v>
      </c>
      <c r="G119" s="135">
        <f t="shared" si="38"/>
        <v>-10080</v>
      </c>
      <c r="H119" s="135">
        <f t="shared" si="38"/>
        <v>-10080</v>
      </c>
    </row>
    <row r="120" spans="2:18" ht="13.15" x14ac:dyDescent="0.4">
      <c r="B120" s="121"/>
      <c r="C120" s="122"/>
      <c r="D120" s="122"/>
      <c r="E120" s="122"/>
      <c r="F120" s="122"/>
      <c r="G120" s="122"/>
      <c r="H120" s="122"/>
    </row>
    <row r="121" spans="2:18" ht="23.25" customHeight="1" x14ac:dyDescent="0.35">
      <c r="B121" s="315" t="s">
        <v>211</v>
      </c>
      <c r="C121" s="316">
        <f>+C106*-1</f>
        <v>-16290.833333333332</v>
      </c>
      <c r="D121" s="316">
        <f>+D118-D119</f>
        <v>-23520</v>
      </c>
      <c r="E121" s="316">
        <f>+E118-E119</f>
        <v>-23520</v>
      </c>
      <c r="F121" s="316">
        <f>+F118-F119</f>
        <v>-23520</v>
      </c>
      <c r="G121" s="316">
        <f>+G118-G119</f>
        <v>-23520</v>
      </c>
      <c r="H121" s="316">
        <f>+H118-H119</f>
        <v>-21410.833333333332</v>
      </c>
    </row>
    <row r="122" spans="2:18" x14ac:dyDescent="0.35">
      <c r="B122" s="2" t="s">
        <v>212</v>
      </c>
    </row>
    <row r="125" spans="2:18" ht="13.15" thickBot="1" x14ac:dyDescent="0.4">
      <c r="H125" s="2" t="s">
        <v>328</v>
      </c>
      <c r="L125" s="2" t="s">
        <v>328</v>
      </c>
      <c r="P125" s="2" t="s">
        <v>328</v>
      </c>
    </row>
    <row r="126" spans="2:18" ht="13.15" x14ac:dyDescent="0.4">
      <c r="B126" s="39"/>
      <c r="C126" s="335"/>
      <c r="D126" s="33"/>
      <c r="H126" s="2" t="str">
        <f>+PVenta!B4</f>
        <v>Publicación y Desarrollo de Trabajo completo</v>
      </c>
      <c r="L126" s="2">
        <f>+Costos!C7</f>
        <v>0</v>
      </c>
      <c r="P126" s="2">
        <f>+Costos!C57</f>
        <v>0</v>
      </c>
    </row>
    <row r="127" spans="2:18" ht="17.25" customHeight="1" x14ac:dyDescent="0.4">
      <c r="B127" s="38" t="s">
        <v>213</v>
      </c>
      <c r="C127" s="334">
        <f>+Enunciado!D23</f>
        <v>0.26835719999999996</v>
      </c>
      <c r="D127" s="32"/>
      <c r="H127" s="2" t="s">
        <v>329</v>
      </c>
      <c r="I127" s="522">
        <v>70</v>
      </c>
      <c r="J127" s="94"/>
      <c r="K127" s="94"/>
      <c r="L127" s="2" t="s">
        <v>330</v>
      </c>
      <c r="M127" s="522">
        <v>8475</v>
      </c>
      <c r="P127" s="2" t="s">
        <v>331</v>
      </c>
      <c r="R127" s="522">
        <v>0.84499999999999997</v>
      </c>
    </row>
    <row r="128" spans="2:18" ht="16.5" customHeight="1" x14ac:dyDescent="0.4">
      <c r="B128" s="38" t="s">
        <v>214</v>
      </c>
      <c r="C128" s="143">
        <f>+(1+C127)^(1/12)-1</f>
        <v>2.0007734371418229E-2</v>
      </c>
      <c r="D128" s="32"/>
      <c r="J128" s="94"/>
      <c r="K128" s="94"/>
    </row>
    <row r="129" spans="2:18" ht="17.25" customHeight="1" x14ac:dyDescent="0.4">
      <c r="B129" s="141" t="s">
        <v>215</v>
      </c>
      <c r="C129" s="144">
        <f>C121+NPV(C127,D121,E121,F121,G121,H121)</f>
        <v>-76592.365655884292</v>
      </c>
      <c r="D129" s="32"/>
      <c r="E129" s="178"/>
      <c r="H129" s="538" t="s">
        <v>329</v>
      </c>
      <c r="I129" s="523">
        <f>+C129</f>
        <v>-76592.365655884292</v>
      </c>
      <c r="J129" s="524" t="e">
        <f>+C130</f>
        <v>#NUM!</v>
      </c>
      <c r="K129" s="94"/>
      <c r="L129" s="538" t="s">
        <v>333</v>
      </c>
      <c r="M129" s="523">
        <f>+C129</f>
        <v>-76592.365655884292</v>
      </c>
      <c r="N129" s="524" t="e">
        <f>+C130</f>
        <v>#NUM!</v>
      </c>
      <c r="P129" s="538" t="s">
        <v>331</v>
      </c>
      <c r="Q129" s="523">
        <f>+C129</f>
        <v>-76592.365655884292</v>
      </c>
      <c r="R129" s="524" t="e">
        <f>+C130</f>
        <v>#NUM!</v>
      </c>
    </row>
    <row r="130" spans="2:18" ht="17.25" customHeight="1" x14ac:dyDescent="0.4">
      <c r="B130" s="141" t="s">
        <v>216</v>
      </c>
      <c r="C130" s="145" t="e">
        <f>IRR(C121:H121)</f>
        <v>#NUM!</v>
      </c>
      <c r="D130" s="32"/>
      <c r="H130" s="70">
        <v>65</v>
      </c>
      <c r="I130" s="534">
        <f t="dataTable" ref="I130:J145" dt2D="0" dtr="0" r1="I127"/>
        <v>-76592.365655884292</v>
      </c>
      <c r="J130" s="535" t="e">
        <v>#NUM!</v>
      </c>
      <c r="K130" s="521"/>
      <c r="L130" s="70">
        <v>8075</v>
      </c>
      <c r="M130" s="534">
        <f t="dataTable" ref="M130:N145" dt2D="0" dtr="0" r1="M127"/>
        <v>-76592.365655884292</v>
      </c>
      <c r="N130" s="536" t="e">
        <v>#NUM!</v>
      </c>
      <c r="P130" s="537">
        <v>0.82</v>
      </c>
      <c r="Q130" s="534">
        <f t="dataTable" ref="Q130:R145" dt2D="0" dtr="0" r1="R127"/>
        <v>-76592.365655884292</v>
      </c>
      <c r="R130" s="536" t="e">
        <v>#NUM!</v>
      </c>
    </row>
    <row r="131" spans="2:18" ht="13.15" thickBot="1" x14ac:dyDescent="0.4">
      <c r="B131" s="46"/>
      <c r="C131" s="30"/>
      <c r="D131" s="29"/>
      <c r="H131" s="70">
        <v>66</v>
      </c>
      <c r="I131" s="534">
        <v>-76592.365655884292</v>
      </c>
      <c r="J131" s="536" t="e">
        <v>#NUM!</v>
      </c>
      <c r="L131" s="70">
        <v>8175</v>
      </c>
      <c r="M131" s="534">
        <v>-76592.365655884292</v>
      </c>
      <c r="N131" s="536" t="e">
        <v>#NUM!</v>
      </c>
      <c r="P131" s="537">
        <v>0.84499999999999997</v>
      </c>
      <c r="Q131" s="534">
        <v>-76592.365655884292</v>
      </c>
      <c r="R131" s="536" t="e">
        <v>#NUM!</v>
      </c>
    </row>
    <row r="132" spans="2:18" ht="15" customHeight="1" x14ac:dyDescent="0.35">
      <c r="H132" s="70">
        <v>67</v>
      </c>
      <c r="I132" s="534">
        <v>-76592.365655884292</v>
      </c>
      <c r="J132" s="536" t="e">
        <v>#NUM!</v>
      </c>
      <c r="L132" s="70">
        <v>8275</v>
      </c>
      <c r="M132" s="534">
        <v>-76592.365655884292</v>
      </c>
      <c r="N132" s="536" t="e">
        <v>#NUM!</v>
      </c>
      <c r="P132" s="537">
        <v>0.87</v>
      </c>
      <c r="Q132" s="534">
        <v>-76592.365655884292</v>
      </c>
      <c r="R132" s="536" t="e">
        <v>#NUM!</v>
      </c>
    </row>
    <row r="133" spans="2:18" x14ac:dyDescent="0.35">
      <c r="B133" s="2" t="s">
        <v>217</v>
      </c>
      <c r="H133" s="70">
        <v>68</v>
      </c>
      <c r="I133" s="534">
        <v>-76592.365655884292</v>
      </c>
      <c r="J133" s="536" t="e">
        <v>#NUM!</v>
      </c>
      <c r="L133" s="70">
        <v>8375</v>
      </c>
      <c r="M133" s="534">
        <v>-76592.365655884292</v>
      </c>
      <c r="N133" s="536" t="e">
        <v>#NUM!</v>
      </c>
      <c r="P133" s="537">
        <v>0.89500000000000002</v>
      </c>
      <c r="Q133" s="534">
        <v>-76592.365655884292</v>
      </c>
      <c r="R133" s="536" t="e">
        <v>#NUM!</v>
      </c>
    </row>
    <row r="134" spans="2:18" x14ac:dyDescent="0.35">
      <c r="B134" s="2" t="s">
        <v>218</v>
      </c>
      <c r="H134" s="70">
        <v>69</v>
      </c>
      <c r="I134" s="534">
        <v>-76592.365655884292</v>
      </c>
      <c r="J134" s="536" t="e">
        <v>#NUM!</v>
      </c>
      <c r="L134" s="70">
        <v>8475</v>
      </c>
      <c r="M134" s="534">
        <v>-76592.365655884292</v>
      </c>
      <c r="N134" s="536" t="e">
        <v>#NUM!</v>
      </c>
      <c r="P134" s="537">
        <v>0.92</v>
      </c>
      <c r="Q134" s="534">
        <v>-76592.365655884292</v>
      </c>
      <c r="R134" s="536" t="e">
        <v>#NUM!</v>
      </c>
    </row>
    <row r="135" spans="2:18" x14ac:dyDescent="0.35">
      <c r="B135" s="2" t="s">
        <v>219</v>
      </c>
      <c r="H135" s="70">
        <v>70</v>
      </c>
      <c r="I135" s="534">
        <v>-76592.365655884292</v>
      </c>
      <c r="J135" s="536" t="e">
        <v>#NUM!</v>
      </c>
      <c r="L135" s="70">
        <v>8575</v>
      </c>
      <c r="M135" s="534">
        <v>-76592.365655884292</v>
      </c>
      <c r="N135" s="536" t="e">
        <v>#NUM!</v>
      </c>
      <c r="P135" s="537">
        <v>0.94499999999999995</v>
      </c>
      <c r="Q135" s="534">
        <v>-76592.365655884292</v>
      </c>
      <c r="R135" s="536" t="e">
        <v>#NUM!</v>
      </c>
    </row>
    <row r="136" spans="2:18" x14ac:dyDescent="0.35">
      <c r="H136" s="70">
        <v>71</v>
      </c>
      <c r="I136" s="534">
        <v>-76592.365655884292</v>
      </c>
      <c r="J136" s="536" t="e">
        <v>#NUM!</v>
      </c>
      <c r="L136" s="70">
        <v>8675</v>
      </c>
      <c r="M136" s="534">
        <v>-76592.365655884292</v>
      </c>
      <c r="N136" s="536" t="e">
        <v>#NUM!</v>
      </c>
      <c r="P136" s="537">
        <v>0.97</v>
      </c>
      <c r="Q136" s="534">
        <v>-76592.365655884292</v>
      </c>
      <c r="R136" s="536" t="e">
        <v>#NUM!</v>
      </c>
    </row>
    <row r="137" spans="2:18" x14ac:dyDescent="0.35">
      <c r="B137" s="678" t="s">
        <v>220</v>
      </c>
      <c r="C137" s="678"/>
      <c r="D137" s="678"/>
      <c r="H137" s="70">
        <v>72</v>
      </c>
      <c r="I137" s="534">
        <v>-76592.365655884292</v>
      </c>
      <c r="J137" s="536" t="e">
        <v>#NUM!</v>
      </c>
      <c r="L137" s="70">
        <v>8775</v>
      </c>
      <c r="M137" s="534">
        <v>-76592.365655884292</v>
      </c>
      <c r="N137" s="536" t="e">
        <v>#NUM!</v>
      </c>
      <c r="P137" s="537">
        <v>0.995</v>
      </c>
      <c r="Q137" s="534">
        <v>-76592.365655884292</v>
      </c>
      <c r="R137" s="536" t="e">
        <v>#NUM!</v>
      </c>
    </row>
    <row r="138" spans="2:18" x14ac:dyDescent="0.35">
      <c r="B138" s="678"/>
      <c r="C138" s="678"/>
      <c r="D138" s="678"/>
      <c r="F138" s="458"/>
      <c r="H138" s="70">
        <v>73</v>
      </c>
      <c r="I138" s="534">
        <v>-76592.365655884292</v>
      </c>
      <c r="J138" s="536" t="e">
        <v>#NUM!</v>
      </c>
      <c r="L138" s="70">
        <v>8875</v>
      </c>
      <c r="M138" s="534">
        <v>-76592.365655884292</v>
      </c>
      <c r="N138" s="536" t="e">
        <v>#NUM!</v>
      </c>
      <c r="P138" s="537">
        <v>1.02</v>
      </c>
      <c r="Q138" s="534">
        <v>-76592.365655884292</v>
      </c>
      <c r="R138" s="536" t="e">
        <v>#NUM!</v>
      </c>
    </row>
    <row r="139" spans="2:18" x14ac:dyDescent="0.35">
      <c r="H139" s="70">
        <v>74</v>
      </c>
      <c r="I139" s="534">
        <v>-76592.365655884292</v>
      </c>
      <c r="J139" s="536" t="e">
        <v>#NUM!</v>
      </c>
      <c r="L139" s="70">
        <v>8975</v>
      </c>
      <c r="M139" s="534">
        <v>-76592.365655884292</v>
      </c>
      <c r="N139" s="536" t="e">
        <v>#NUM!</v>
      </c>
      <c r="P139" s="537">
        <v>1.0449999999999999</v>
      </c>
      <c r="Q139" s="534">
        <v>-76592.365655884292</v>
      </c>
      <c r="R139" s="536" t="e">
        <v>#NUM!</v>
      </c>
    </row>
    <row r="140" spans="2:18" x14ac:dyDescent="0.35">
      <c r="H140" s="70">
        <v>75</v>
      </c>
      <c r="I140" s="534">
        <v>-76592.365655884292</v>
      </c>
      <c r="J140" s="536" t="e">
        <v>#NUM!</v>
      </c>
      <c r="L140" s="70">
        <v>9075</v>
      </c>
      <c r="M140" s="534">
        <v>-76592.365655884292</v>
      </c>
      <c r="N140" s="536" t="e">
        <v>#NUM!</v>
      </c>
      <c r="P140" s="537">
        <v>1.07</v>
      </c>
      <c r="Q140" s="534">
        <v>-76592.365655884292</v>
      </c>
      <c r="R140" s="536" t="e">
        <v>#NUM!</v>
      </c>
    </row>
    <row r="141" spans="2:18" ht="12.75" customHeight="1" x14ac:dyDescent="0.35">
      <c r="B141" s="678" t="s">
        <v>221</v>
      </c>
      <c r="C141" s="678"/>
      <c r="D141" s="678"/>
      <c r="H141" s="70">
        <v>76</v>
      </c>
      <c r="I141" s="534">
        <v>-76592.365655884292</v>
      </c>
      <c r="J141" s="536" t="e">
        <v>#NUM!</v>
      </c>
      <c r="L141" s="70">
        <v>9175</v>
      </c>
      <c r="M141" s="534">
        <v>-76592.365655884292</v>
      </c>
      <c r="N141" s="536" t="e">
        <v>#NUM!</v>
      </c>
      <c r="P141" s="537">
        <v>1.095</v>
      </c>
      <c r="Q141" s="534">
        <v>-76592.365655884292</v>
      </c>
      <c r="R141" s="536" t="e">
        <v>#NUM!</v>
      </c>
    </row>
    <row r="142" spans="2:18" x14ac:dyDescent="0.35">
      <c r="B142" s="678"/>
      <c r="C142" s="678"/>
      <c r="D142" s="678"/>
      <c r="H142" s="70">
        <v>77</v>
      </c>
      <c r="I142" s="534">
        <v>-76592.365655884292</v>
      </c>
      <c r="J142" s="536" t="e">
        <v>#NUM!</v>
      </c>
      <c r="L142" s="70">
        <v>9275</v>
      </c>
      <c r="M142" s="534">
        <v>-76592.365655884292</v>
      </c>
      <c r="N142" s="536" t="e">
        <v>#NUM!</v>
      </c>
      <c r="P142" s="537">
        <v>1.1200000000000001</v>
      </c>
      <c r="Q142" s="534">
        <v>-76592.365655884292</v>
      </c>
      <c r="R142" s="536" t="e">
        <v>#NUM!</v>
      </c>
    </row>
    <row r="143" spans="2:18" x14ac:dyDescent="0.35">
      <c r="H143" s="70">
        <v>78</v>
      </c>
      <c r="I143" s="534">
        <v>-76592.365655884292</v>
      </c>
      <c r="J143" s="536" t="e">
        <v>#NUM!</v>
      </c>
      <c r="L143" s="70">
        <v>9375</v>
      </c>
      <c r="M143" s="534">
        <v>-76592.365655884292</v>
      </c>
      <c r="N143" s="536" t="e">
        <v>#NUM!</v>
      </c>
      <c r="P143" s="537">
        <v>1.145</v>
      </c>
      <c r="Q143" s="534">
        <v>-76592.365655884292</v>
      </c>
      <c r="R143" s="536" t="e">
        <v>#NUM!</v>
      </c>
    </row>
    <row r="144" spans="2:18" x14ac:dyDescent="0.35">
      <c r="H144" s="70">
        <v>79</v>
      </c>
      <c r="I144" s="534">
        <v>-76592.365655884292</v>
      </c>
      <c r="J144" s="536" t="e">
        <v>#NUM!</v>
      </c>
      <c r="L144" s="70">
        <v>9475</v>
      </c>
      <c r="M144" s="534">
        <v>-76592.365655884292</v>
      </c>
      <c r="N144" s="536" t="e">
        <v>#NUM!</v>
      </c>
      <c r="P144" s="537">
        <v>1.17</v>
      </c>
      <c r="Q144" s="534">
        <v>-76592.365655884292</v>
      </c>
      <c r="R144" s="536" t="e">
        <v>#NUM!</v>
      </c>
    </row>
    <row r="145" spans="8:18" x14ac:dyDescent="0.35">
      <c r="H145" s="70">
        <v>80</v>
      </c>
      <c r="I145" s="534">
        <v>-76592.365655884292</v>
      </c>
      <c r="J145" s="536" t="e">
        <v>#NUM!</v>
      </c>
      <c r="L145" s="70">
        <v>9575</v>
      </c>
      <c r="M145" s="534">
        <v>-76592.365655884292</v>
      </c>
      <c r="N145" s="536" t="e">
        <v>#NUM!</v>
      </c>
      <c r="P145" s="537">
        <v>1.1950000000000001</v>
      </c>
      <c r="Q145" s="534">
        <v>-76592.365655884292</v>
      </c>
      <c r="R145" s="536" t="e">
        <v>#NUM!</v>
      </c>
    </row>
    <row r="146" spans="8:18" x14ac:dyDescent="0.35">
      <c r="J146" s="178"/>
    </row>
  </sheetData>
  <mergeCells count="3">
    <mergeCell ref="B3:O3"/>
    <mergeCell ref="B137:D138"/>
    <mergeCell ref="B141:D142"/>
  </mergeCells>
  <pageMargins left="0.75" right="0.75" top="1" bottom="1" header="0" footer="0"/>
  <pageSetup paperSize="9" scale="94" orientation="landscape" horizontalDpi="360" verticalDpi="360" r:id="rId1"/>
  <headerFooter alignWithMargins="0">
    <oddFooter>&amp;CFlujo de Caja Económico - Plan de Negocio
SYSA Cultura Emprendedora
www.culturaemprendedora.com</oddFooter>
  </headerFooter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54"/>
  <sheetViews>
    <sheetView topLeftCell="A33" workbookViewId="0">
      <selection activeCell="H63" sqref="H63"/>
    </sheetView>
  </sheetViews>
  <sheetFormatPr baseColWidth="10" defaultColWidth="11.46484375" defaultRowHeight="12.75" x14ac:dyDescent="0.35"/>
  <cols>
    <col min="1" max="1" width="4.86328125" customWidth="1"/>
    <col min="11" max="11" width="9.6640625" customWidth="1"/>
  </cols>
  <sheetData>
    <row r="1" spans="1:12" ht="15.75" customHeight="1" x14ac:dyDescent="0.4">
      <c r="F1" s="77" t="s">
        <v>222</v>
      </c>
      <c r="I1" s="352">
        <v>0.57999999999999996</v>
      </c>
      <c r="J1" s="277">
        <f>+H7*(1+H7)^(H8-6)</f>
        <v>47.475262759953935</v>
      </c>
    </row>
    <row r="2" spans="1:12" ht="15.75" customHeight="1" x14ac:dyDescent="0.4">
      <c r="F2" s="77" t="s">
        <v>223</v>
      </c>
      <c r="I2" s="353">
        <v>5.0000000000000001E-4</v>
      </c>
      <c r="J2">
        <f>+(1+H7)^(H8-6)-1</f>
        <v>236.37631379976966</v>
      </c>
      <c r="L2" s="76" t="s">
        <v>224</v>
      </c>
    </row>
    <row r="3" spans="1:12" ht="18.75" customHeight="1" x14ac:dyDescent="0.35">
      <c r="H3" s="260"/>
      <c r="L3" s="262"/>
    </row>
    <row r="4" spans="1:12" ht="22.5" x14ac:dyDescent="0.6">
      <c r="B4" s="7" t="s">
        <v>225</v>
      </c>
      <c r="C4" s="6"/>
      <c r="D4" s="6"/>
      <c r="E4" s="6"/>
      <c r="F4" s="6"/>
      <c r="G4" s="6"/>
      <c r="H4" s="6"/>
      <c r="L4" s="263"/>
    </row>
    <row r="5" spans="1:12" ht="22.5" x14ac:dyDescent="0.6">
      <c r="B5" s="7"/>
      <c r="C5" s="6"/>
      <c r="D5" s="6"/>
      <c r="E5" s="6"/>
      <c r="F5" s="6"/>
      <c r="G5" s="6"/>
      <c r="H5" s="6"/>
    </row>
    <row r="6" spans="1:12" ht="13.9" x14ac:dyDescent="0.4">
      <c r="B6" s="2"/>
      <c r="C6" s="52" t="s">
        <v>226</v>
      </c>
      <c r="D6" s="2"/>
      <c r="E6" s="2"/>
      <c r="F6" s="2"/>
      <c r="G6" s="2" t="s">
        <v>82</v>
      </c>
      <c r="H6" s="480">
        <f>+Inversiones!C91</f>
        <v>9774.5</v>
      </c>
    </row>
    <row r="7" spans="1:12" ht="15" x14ac:dyDescent="0.4">
      <c r="B7" s="53"/>
      <c r="C7" s="52" t="s">
        <v>227</v>
      </c>
      <c r="D7" s="2"/>
      <c r="E7" s="2"/>
      <c r="F7" s="54"/>
      <c r="G7" s="2" t="s">
        <v>111</v>
      </c>
      <c r="H7" s="481">
        <v>0.2</v>
      </c>
    </row>
    <row r="8" spans="1:12" ht="15" x14ac:dyDescent="0.4">
      <c r="B8" s="53"/>
      <c r="C8" s="52" t="s">
        <v>228</v>
      </c>
      <c r="D8" s="2"/>
      <c r="E8" s="2"/>
      <c r="F8" s="51"/>
      <c r="G8" s="2" t="s">
        <v>229</v>
      </c>
      <c r="H8" s="482">
        <v>36</v>
      </c>
    </row>
    <row r="9" spans="1:12" ht="15" x14ac:dyDescent="0.4">
      <c r="B9" s="53"/>
      <c r="C9" s="52" t="s">
        <v>230</v>
      </c>
      <c r="D9" s="2"/>
      <c r="E9" s="2"/>
      <c r="F9" s="51"/>
      <c r="G9" s="2" t="s">
        <v>229</v>
      </c>
      <c r="H9" s="482">
        <v>0</v>
      </c>
    </row>
    <row r="10" spans="1:12" ht="13.9" x14ac:dyDescent="0.4">
      <c r="B10" s="2"/>
      <c r="C10" s="52" t="s">
        <v>231</v>
      </c>
      <c r="D10" s="2"/>
      <c r="E10" s="2"/>
      <c r="F10" s="2"/>
      <c r="G10" s="2" t="s">
        <v>82</v>
      </c>
      <c r="H10" s="480">
        <f>+J1/J2*H19</f>
        <v>3399.5261564766624</v>
      </c>
    </row>
    <row r="12" spans="1:12" ht="24.75" customHeight="1" x14ac:dyDescent="0.35">
      <c r="A12" s="533"/>
      <c r="B12" s="284" t="s">
        <v>232</v>
      </c>
      <c r="C12" s="285" t="s">
        <v>233</v>
      </c>
      <c r="D12" s="284" t="s">
        <v>234</v>
      </c>
      <c r="E12" s="284" t="s">
        <v>235</v>
      </c>
      <c r="F12" s="284" t="s">
        <v>236</v>
      </c>
      <c r="G12" s="284" t="s">
        <v>237</v>
      </c>
      <c r="H12" s="284" t="s">
        <v>238</v>
      </c>
      <c r="I12" s="284" t="s">
        <v>239</v>
      </c>
      <c r="K12" s="325" t="s">
        <v>240</v>
      </c>
    </row>
    <row r="13" spans="1:12" x14ac:dyDescent="0.35">
      <c r="A13" s="533"/>
      <c r="B13" s="259"/>
      <c r="C13" s="259"/>
      <c r="D13" s="259"/>
      <c r="E13" s="259"/>
      <c r="F13" s="259"/>
      <c r="G13" s="259"/>
      <c r="H13" s="259">
        <f>+H6</f>
        <v>9774.5</v>
      </c>
      <c r="I13" s="259">
        <f>-H13</f>
        <v>-9774.5</v>
      </c>
      <c r="L13" s="261"/>
    </row>
    <row r="14" spans="1:12" x14ac:dyDescent="0.35">
      <c r="A14" s="533">
        <v>1</v>
      </c>
      <c r="B14" s="259">
        <v>0</v>
      </c>
      <c r="C14" s="259">
        <f>+H$7*H13</f>
        <v>1954.9</v>
      </c>
      <c r="D14" s="259">
        <v>0</v>
      </c>
      <c r="E14" s="259">
        <f t="shared" ref="E14:E49" si="0">+H13*I$2</f>
        <v>4.8872499999999999</v>
      </c>
      <c r="F14" s="259">
        <v>4</v>
      </c>
      <c r="G14" s="259"/>
      <c r="H14" s="259">
        <f>+H13+C14+E14+F14</f>
        <v>11738.287249999999</v>
      </c>
      <c r="I14" s="259">
        <f>+G14</f>
        <v>0</v>
      </c>
      <c r="K14" s="261">
        <f>+E14+F14</f>
        <v>8.8872499999999999</v>
      </c>
      <c r="L14" s="261"/>
    </row>
    <row r="15" spans="1:12" x14ac:dyDescent="0.35">
      <c r="A15" s="533">
        <v>2</v>
      </c>
      <c r="B15" s="259">
        <v>0</v>
      </c>
      <c r="C15" s="259">
        <f t="shared" ref="C15:C37" si="1">+H$7*H14</f>
        <v>2347.6574500000002</v>
      </c>
      <c r="D15" s="259">
        <v>0</v>
      </c>
      <c r="E15" s="259">
        <f t="shared" si="0"/>
        <v>5.8691436249999995</v>
      </c>
      <c r="F15" s="259">
        <v>4</v>
      </c>
      <c r="G15" s="259"/>
      <c r="H15" s="259">
        <f>+H14+C15+E15+F15</f>
        <v>14095.813843624999</v>
      </c>
      <c r="I15" s="259">
        <f t="shared" ref="I15:I49" si="2">+G15</f>
        <v>0</v>
      </c>
      <c r="K15" s="261">
        <f t="shared" ref="K15:K37" si="3">+E15+F15</f>
        <v>9.8691436249999995</v>
      </c>
      <c r="L15" s="261"/>
    </row>
    <row r="16" spans="1:12" x14ac:dyDescent="0.35">
      <c r="A16" s="533">
        <v>3</v>
      </c>
      <c r="B16" s="259">
        <v>0</v>
      </c>
      <c r="C16" s="259">
        <f t="shared" si="1"/>
        <v>2819.1627687250002</v>
      </c>
      <c r="D16" s="259">
        <v>0</v>
      </c>
      <c r="E16" s="259">
        <f t="shared" si="0"/>
        <v>7.0479069218124994</v>
      </c>
      <c r="F16" s="259">
        <v>4</v>
      </c>
      <c r="G16" s="259"/>
      <c r="H16" s="259">
        <f>+H15+C16+E16+F16</f>
        <v>16926.024519271814</v>
      </c>
      <c r="I16" s="259">
        <f t="shared" si="2"/>
        <v>0</v>
      </c>
      <c r="K16" s="261">
        <f t="shared" si="3"/>
        <v>11.047906921812499</v>
      </c>
      <c r="L16" s="261"/>
    </row>
    <row r="17" spans="1:12" x14ac:dyDescent="0.35">
      <c r="A17" s="533">
        <v>4</v>
      </c>
      <c r="B17" s="259">
        <v>0</v>
      </c>
      <c r="C17" s="259">
        <f t="shared" si="1"/>
        <v>3385.2049038543628</v>
      </c>
      <c r="D17" s="259">
        <f>+C17</f>
        <v>3385.2049038543628</v>
      </c>
      <c r="E17" s="259">
        <f t="shared" si="0"/>
        <v>8.4630122596359065</v>
      </c>
      <c r="F17" s="259">
        <v>4</v>
      </c>
      <c r="G17" s="259">
        <f>+B17+C17+E17+F17</f>
        <v>3397.6679161139987</v>
      </c>
      <c r="H17" s="259">
        <f>+H16</f>
        <v>16926.024519271814</v>
      </c>
      <c r="I17" s="259">
        <f t="shared" si="2"/>
        <v>3397.6679161139987</v>
      </c>
      <c r="K17" s="261">
        <f t="shared" si="3"/>
        <v>12.463012259635907</v>
      </c>
      <c r="L17" s="261"/>
    </row>
    <row r="18" spans="1:12" x14ac:dyDescent="0.35">
      <c r="A18" s="533">
        <v>5</v>
      </c>
      <c r="B18" s="259">
        <v>0</v>
      </c>
      <c r="C18" s="259">
        <f t="shared" si="1"/>
        <v>3385.2049038543628</v>
      </c>
      <c r="D18" s="259">
        <f>+C18</f>
        <v>3385.2049038543628</v>
      </c>
      <c r="E18" s="259">
        <f t="shared" si="0"/>
        <v>8.4630122596359065</v>
      </c>
      <c r="F18" s="259">
        <v>4</v>
      </c>
      <c r="G18" s="259">
        <f t="shared" ref="G18:G37" si="4">+B18+C18+E18+F18</f>
        <v>3397.6679161139987</v>
      </c>
      <c r="H18" s="259">
        <f>+H17</f>
        <v>16926.024519271814</v>
      </c>
      <c r="I18" s="259">
        <f t="shared" si="2"/>
        <v>3397.6679161139987</v>
      </c>
      <c r="K18" s="261">
        <f t="shared" si="3"/>
        <v>12.463012259635907</v>
      </c>
      <c r="L18" s="261"/>
    </row>
    <row r="19" spans="1:12" x14ac:dyDescent="0.35">
      <c r="A19" s="533">
        <v>6</v>
      </c>
      <c r="B19" s="259">
        <v>0</v>
      </c>
      <c r="C19" s="259">
        <f t="shared" si="1"/>
        <v>3385.2049038543628</v>
      </c>
      <c r="D19" s="259">
        <f>+C19</f>
        <v>3385.2049038543628</v>
      </c>
      <c r="E19" s="259">
        <f t="shared" si="0"/>
        <v>8.4630122596359065</v>
      </c>
      <c r="F19" s="259">
        <v>4</v>
      </c>
      <c r="G19" s="259">
        <f t="shared" si="4"/>
        <v>3397.6679161139987</v>
      </c>
      <c r="H19" s="259">
        <f>+H18</f>
        <v>16926.024519271814</v>
      </c>
      <c r="I19" s="259">
        <f t="shared" si="2"/>
        <v>3397.6679161139987</v>
      </c>
      <c r="K19" s="261">
        <f t="shared" si="3"/>
        <v>12.463012259635907</v>
      </c>
      <c r="L19" s="261"/>
    </row>
    <row r="20" spans="1:12" x14ac:dyDescent="0.35">
      <c r="A20" s="533">
        <v>7</v>
      </c>
      <c r="B20" s="259">
        <f>+D20-C20</f>
        <v>14.321252622299653</v>
      </c>
      <c r="C20" s="259">
        <f t="shared" si="1"/>
        <v>3385.2049038543628</v>
      </c>
      <c r="D20" s="259">
        <f>+H10</f>
        <v>3399.5261564766624</v>
      </c>
      <c r="E20" s="259">
        <f t="shared" si="0"/>
        <v>8.4630122596359065</v>
      </c>
      <c r="F20" s="259">
        <v>4</v>
      </c>
      <c r="G20" s="259">
        <f>+B20+C20+E20+F20</f>
        <v>3411.9891687362983</v>
      </c>
      <c r="H20" s="259">
        <f>+H19-B20</f>
        <v>16911.703266649514</v>
      </c>
      <c r="I20" s="259">
        <f t="shared" si="2"/>
        <v>3411.9891687362983</v>
      </c>
      <c r="K20" s="261">
        <f t="shared" si="3"/>
        <v>12.463012259635907</v>
      </c>
      <c r="L20" s="261"/>
    </row>
    <row r="21" spans="1:12" x14ac:dyDescent="0.35">
      <c r="A21" s="533">
        <v>8</v>
      </c>
      <c r="B21" s="259">
        <f>+D21-C21</f>
        <v>17.185503146759402</v>
      </c>
      <c r="C21" s="259">
        <f t="shared" si="1"/>
        <v>3382.340653329903</v>
      </c>
      <c r="D21" s="259">
        <f>+D20</f>
        <v>3399.5261564766624</v>
      </c>
      <c r="E21" s="259">
        <f t="shared" si="0"/>
        <v>8.4558516333247571</v>
      </c>
      <c r="F21" s="259">
        <v>4</v>
      </c>
      <c r="G21" s="259">
        <f t="shared" si="4"/>
        <v>3411.9820081099874</v>
      </c>
      <c r="H21" s="259">
        <f t="shared" ref="H21:H37" si="5">+H20-B21</f>
        <v>16894.517763502754</v>
      </c>
      <c r="I21" s="259">
        <f t="shared" si="2"/>
        <v>3411.9820081099874</v>
      </c>
      <c r="K21" s="261">
        <f t="shared" si="3"/>
        <v>12.455851633324757</v>
      </c>
      <c r="L21" s="261"/>
    </row>
    <row r="22" spans="1:12" x14ac:dyDescent="0.35">
      <c r="A22" s="533">
        <v>9</v>
      </c>
      <c r="B22" s="259">
        <f t="shared" ref="B22:B37" si="6">+D22-C22</f>
        <v>20.622603776111646</v>
      </c>
      <c r="C22" s="259">
        <f t="shared" si="1"/>
        <v>3378.9035527005508</v>
      </c>
      <c r="D22" s="259">
        <f t="shared" ref="D22:D37" si="7">+D21</f>
        <v>3399.5261564766624</v>
      </c>
      <c r="E22" s="259">
        <f t="shared" si="0"/>
        <v>8.4472588817513774</v>
      </c>
      <c r="F22" s="259">
        <v>4</v>
      </c>
      <c r="G22" s="259">
        <f t="shared" si="4"/>
        <v>3411.9734153584136</v>
      </c>
      <c r="H22" s="259">
        <f t="shared" si="5"/>
        <v>16873.895159726642</v>
      </c>
      <c r="I22" s="259">
        <f t="shared" si="2"/>
        <v>3411.9734153584136</v>
      </c>
      <c r="K22" s="261">
        <f t="shared" si="3"/>
        <v>12.447258881751377</v>
      </c>
      <c r="L22" s="261"/>
    </row>
    <row r="23" spans="1:12" x14ac:dyDescent="0.35">
      <c r="A23" s="533">
        <v>10</v>
      </c>
      <c r="B23" s="259">
        <f t="shared" si="6"/>
        <v>24.747124531333611</v>
      </c>
      <c r="C23" s="259">
        <f t="shared" si="1"/>
        <v>3374.7790319453288</v>
      </c>
      <c r="D23" s="259">
        <f t="shared" si="7"/>
        <v>3399.5261564766624</v>
      </c>
      <c r="E23" s="259">
        <f t="shared" si="0"/>
        <v>8.4369475798633218</v>
      </c>
      <c r="F23" s="259">
        <v>4</v>
      </c>
      <c r="G23" s="259">
        <f t="shared" si="4"/>
        <v>3411.9631040565259</v>
      </c>
      <c r="H23" s="259">
        <f t="shared" si="5"/>
        <v>16849.148035195307</v>
      </c>
      <c r="I23" s="259">
        <f t="shared" si="2"/>
        <v>3411.9631040565259</v>
      </c>
      <c r="K23" s="261">
        <f t="shared" si="3"/>
        <v>12.436947579863322</v>
      </c>
      <c r="L23" s="261"/>
    </row>
    <row r="24" spans="1:12" x14ac:dyDescent="0.35">
      <c r="A24" s="533">
        <v>11</v>
      </c>
      <c r="B24" s="259">
        <f t="shared" si="6"/>
        <v>29.696549437600879</v>
      </c>
      <c r="C24" s="259">
        <f t="shared" si="1"/>
        <v>3369.8296070390616</v>
      </c>
      <c r="D24" s="259">
        <f t="shared" si="7"/>
        <v>3399.5261564766624</v>
      </c>
      <c r="E24" s="259">
        <f t="shared" si="0"/>
        <v>8.4245740175976529</v>
      </c>
      <c r="F24" s="259">
        <v>4</v>
      </c>
      <c r="G24" s="259">
        <f t="shared" si="4"/>
        <v>3411.9507304942599</v>
      </c>
      <c r="H24" s="259">
        <f t="shared" si="5"/>
        <v>16819.451485757705</v>
      </c>
      <c r="I24" s="259">
        <f t="shared" si="2"/>
        <v>3411.9507304942599</v>
      </c>
      <c r="K24" s="261">
        <f t="shared" si="3"/>
        <v>12.424574017597653</v>
      </c>
      <c r="L24" s="261"/>
    </row>
    <row r="25" spans="1:12" x14ac:dyDescent="0.35">
      <c r="A25" s="533">
        <v>12</v>
      </c>
      <c r="B25" s="259">
        <f t="shared" si="6"/>
        <v>35.635859325121146</v>
      </c>
      <c r="C25" s="259">
        <f t="shared" si="1"/>
        <v>3363.8902971515413</v>
      </c>
      <c r="D25" s="259">
        <f t="shared" si="7"/>
        <v>3399.5261564766624</v>
      </c>
      <c r="E25" s="259">
        <f t="shared" si="0"/>
        <v>8.4097257428788534</v>
      </c>
      <c r="F25" s="259">
        <v>4</v>
      </c>
      <c r="G25" s="259">
        <f t="shared" si="4"/>
        <v>3411.9358822195413</v>
      </c>
      <c r="H25" s="259">
        <f t="shared" si="5"/>
        <v>16783.815626432584</v>
      </c>
      <c r="I25" s="259">
        <f t="shared" si="2"/>
        <v>3411.9358822195413</v>
      </c>
      <c r="K25" s="261">
        <f t="shared" si="3"/>
        <v>12.409725742878853</v>
      </c>
      <c r="L25" s="261"/>
    </row>
    <row r="26" spans="1:12" x14ac:dyDescent="0.35">
      <c r="A26" s="533">
        <v>13</v>
      </c>
      <c r="B26" s="259">
        <f t="shared" si="6"/>
        <v>42.763031190145284</v>
      </c>
      <c r="C26" s="259">
        <f t="shared" si="1"/>
        <v>3356.7631252865172</v>
      </c>
      <c r="D26" s="259">
        <f t="shared" si="7"/>
        <v>3399.5261564766624</v>
      </c>
      <c r="E26" s="259">
        <f t="shared" si="0"/>
        <v>8.3919078132162923</v>
      </c>
      <c r="F26" s="259">
        <v>4</v>
      </c>
      <c r="G26" s="259">
        <f t="shared" si="4"/>
        <v>3411.9180642898787</v>
      </c>
      <c r="H26" s="259">
        <f t="shared" si="5"/>
        <v>16741.05259524244</v>
      </c>
      <c r="I26" s="259">
        <f t="shared" si="2"/>
        <v>3411.9180642898787</v>
      </c>
      <c r="K26" s="261">
        <f t="shared" si="3"/>
        <v>12.391907813216292</v>
      </c>
      <c r="L26" s="261"/>
    </row>
    <row r="27" spans="1:12" x14ac:dyDescent="0.35">
      <c r="A27" s="533">
        <v>14</v>
      </c>
      <c r="B27" s="259">
        <f t="shared" si="6"/>
        <v>51.315637428174341</v>
      </c>
      <c r="C27" s="259">
        <f t="shared" si="1"/>
        <v>3348.2105190484881</v>
      </c>
      <c r="D27" s="259">
        <f t="shared" si="7"/>
        <v>3399.5261564766624</v>
      </c>
      <c r="E27" s="259">
        <f t="shared" si="0"/>
        <v>8.37052629762122</v>
      </c>
      <c r="F27" s="259">
        <v>4</v>
      </c>
      <c r="G27" s="259">
        <f t="shared" si="4"/>
        <v>3411.8966827742838</v>
      </c>
      <c r="H27" s="259">
        <f t="shared" si="5"/>
        <v>16689.736957814264</v>
      </c>
      <c r="I27" s="259">
        <f t="shared" si="2"/>
        <v>3411.8966827742838</v>
      </c>
      <c r="K27" s="261">
        <f t="shared" si="3"/>
        <v>12.37052629762122</v>
      </c>
      <c r="L27" s="261"/>
    </row>
    <row r="28" spans="1:12" x14ac:dyDescent="0.35">
      <c r="A28" s="533">
        <v>15</v>
      </c>
      <c r="B28" s="259">
        <f t="shared" si="6"/>
        <v>61.578764913809209</v>
      </c>
      <c r="C28" s="259">
        <f t="shared" si="1"/>
        <v>3337.9473915628532</v>
      </c>
      <c r="D28" s="259">
        <f t="shared" si="7"/>
        <v>3399.5261564766624</v>
      </c>
      <c r="E28" s="259">
        <f t="shared" si="0"/>
        <v>8.3448684789071326</v>
      </c>
      <c r="F28" s="259">
        <v>4</v>
      </c>
      <c r="G28" s="259">
        <f t="shared" si="4"/>
        <v>3411.8710249555697</v>
      </c>
      <c r="H28" s="259">
        <f t="shared" si="5"/>
        <v>16628.158192900453</v>
      </c>
      <c r="I28" s="259">
        <f t="shared" si="2"/>
        <v>3411.8710249555697</v>
      </c>
      <c r="K28" s="261">
        <f t="shared" si="3"/>
        <v>12.344868478907133</v>
      </c>
      <c r="L28" s="261"/>
    </row>
    <row r="29" spans="1:12" x14ac:dyDescent="0.35">
      <c r="A29" s="533">
        <v>16</v>
      </c>
      <c r="B29" s="259">
        <f t="shared" si="6"/>
        <v>73.894517896571415</v>
      </c>
      <c r="C29" s="259">
        <f t="shared" si="1"/>
        <v>3325.631638580091</v>
      </c>
      <c r="D29" s="259">
        <f t="shared" si="7"/>
        <v>3399.5261564766624</v>
      </c>
      <c r="E29" s="259">
        <f t="shared" si="0"/>
        <v>8.3140790964502269</v>
      </c>
      <c r="F29" s="259">
        <v>4</v>
      </c>
      <c r="G29" s="259">
        <f t="shared" si="4"/>
        <v>3411.8402355731127</v>
      </c>
      <c r="H29" s="259">
        <f t="shared" si="5"/>
        <v>16554.26367500388</v>
      </c>
      <c r="I29" s="259">
        <f t="shared" si="2"/>
        <v>3411.8402355731127</v>
      </c>
      <c r="K29" s="261">
        <f t="shared" si="3"/>
        <v>12.314079096450227</v>
      </c>
      <c r="L29" s="261"/>
    </row>
    <row r="30" spans="1:12" x14ac:dyDescent="0.35">
      <c r="A30" s="533">
        <v>17</v>
      </c>
      <c r="B30" s="259">
        <f t="shared" si="6"/>
        <v>88.673421475886244</v>
      </c>
      <c r="C30" s="259">
        <f t="shared" si="1"/>
        <v>3310.8527350007762</v>
      </c>
      <c r="D30" s="259">
        <f t="shared" si="7"/>
        <v>3399.5261564766624</v>
      </c>
      <c r="E30" s="259">
        <f t="shared" si="0"/>
        <v>8.2771318375019405</v>
      </c>
      <c r="F30" s="259">
        <v>4</v>
      </c>
      <c r="G30" s="259">
        <f t="shared" si="4"/>
        <v>3411.8032883141645</v>
      </c>
      <c r="H30" s="259">
        <f t="shared" si="5"/>
        <v>16465.590253527993</v>
      </c>
      <c r="I30" s="259">
        <f t="shared" si="2"/>
        <v>3411.8032883141645</v>
      </c>
      <c r="K30" s="261">
        <f t="shared" si="3"/>
        <v>12.27713183750194</v>
      </c>
      <c r="L30" s="261"/>
    </row>
    <row r="31" spans="1:12" x14ac:dyDescent="0.35">
      <c r="A31" s="533">
        <v>18</v>
      </c>
      <c r="B31" s="259">
        <f t="shared" si="6"/>
        <v>106.40810577106367</v>
      </c>
      <c r="C31" s="259">
        <f t="shared" si="1"/>
        <v>3293.1180507055988</v>
      </c>
      <c r="D31" s="259">
        <f t="shared" si="7"/>
        <v>3399.5261564766624</v>
      </c>
      <c r="E31" s="259">
        <f t="shared" si="0"/>
        <v>8.2327951267639961</v>
      </c>
      <c r="F31" s="259">
        <v>4</v>
      </c>
      <c r="G31" s="259">
        <f t="shared" si="4"/>
        <v>3411.7589516034263</v>
      </c>
      <c r="H31" s="259">
        <f t="shared" si="5"/>
        <v>16359.182147756928</v>
      </c>
      <c r="I31" s="259">
        <f t="shared" si="2"/>
        <v>3411.7589516034263</v>
      </c>
      <c r="K31" s="261">
        <f t="shared" si="3"/>
        <v>12.232795126763996</v>
      </c>
      <c r="L31" s="261"/>
    </row>
    <row r="32" spans="1:12" x14ac:dyDescent="0.35">
      <c r="A32" s="533">
        <v>19</v>
      </c>
      <c r="B32" s="259">
        <f t="shared" si="6"/>
        <v>127.68972692527677</v>
      </c>
      <c r="C32" s="259">
        <f t="shared" si="1"/>
        <v>3271.8364295513857</v>
      </c>
      <c r="D32" s="259">
        <f t="shared" si="7"/>
        <v>3399.5261564766624</v>
      </c>
      <c r="E32" s="259">
        <f t="shared" si="0"/>
        <v>8.1795910738784645</v>
      </c>
      <c r="F32" s="259">
        <v>4</v>
      </c>
      <c r="G32" s="259">
        <f t="shared" si="4"/>
        <v>3411.7057475505408</v>
      </c>
      <c r="H32" s="259">
        <f t="shared" si="5"/>
        <v>16231.492420831652</v>
      </c>
      <c r="I32" s="259">
        <f t="shared" si="2"/>
        <v>3411.7057475505408</v>
      </c>
      <c r="K32" s="261">
        <f t="shared" si="3"/>
        <v>12.179591073878465</v>
      </c>
      <c r="L32" s="261"/>
    </row>
    <row r="33" spans="1:12" x14ac:dyDescent="0.35">
      <c r="A33" s="533">
        <v>20</v>
      </c>
      <c r="B33" s="259">
        <f t="shared" si="6"/>
        <v>153.22767231033185</v>
      </c>
      <c r="C33" s="259">
        <f t="shared" si="1"/>
        <v>3246.2984841663306</v>
      </c>
      <c r="D33" s="259">
        <f t="shared" si="7"/>
        <v>3399.5261564766624</v>
      </c>
      <c r="E33" s="259">
        <f t="shared" si="0"/>
        <v>8.1157462104158267</v>
      </c>
      <c r="F33" s="259">
        <v>4</v>
      </c>
      <c r="G33" s="259">
        <f t="shared" si="4"/>
        <v>3411.6419026870781</v>
      </c>
      <c r="H33" s="259">
        <f t="shared" si="5"/>
        <v>16078.26474852132</v>
      </c>
      <c r="I33" s="259">
        <f t="shared" si="2"/>
        <v>3411.6419026870781</v>
      </c>
      <c r="K33" s="261">
        <f t="shared" si="3"/>
        <v>12.115746210415827</v>
      </c>
      <c r="L33" s="261"/>
    </row>
    <row r="34" spans="1:12" x14ac:dyDescent="0.35">
      <c r="A34" s="533">
        <v>21</v>
      </c>
      <c r="B34" s="259">
        <f t="shared" si="6"/>
        <v>183.87320677239813</v>
      </c>
      <c r="C34" s="259">
        <f t="shared" si="1"/>
        <v>3215.6529497042643</v>
      </c>
      <c r="D34" s="259">
        <f t="shared" si="7"/>
        <v>3399.5261564766624</v>
      </c>
      <c r="E34" s="259">
        <f t="shared" si="0"/>
        <v>8.0391323742606602</v>
      </c>
      <c r="F34" s="259">
        <v>4</v>
      </c>
      <c r="G34" s="259">
        <f t="shared" si="4"/>
        <v>3411.565288850923</v>
      </c>
      <c r="H34" s="259">
        <f t="shared" si="5"/>
        <v>15894.391541748922</v>
      </c>
      <c r="I34" s="259">
        <f t="shared" si="2"/>
        <v>3411.565288850923</v>
      </c>
      <c r="K34" s="261">
        <f t="shared" si="3"/>
        <v>12.03913237426066</v>
      </c>
      <c r="L34" s="261"/>
    </row>
    <row r="35" spans="1:12" x14ac:dyDescent="0.35">
      <c r="A35" s="533">
        <v>22</v>
      </c>
      <c r="B35" s="259">
        <f t="shared" si="6"/>
        <v>220.64784812687776</v>
      </c>
      <c r="C35" s="259">
        <f t="shared" si="1"/>
        <v>3178.8783083497847</v>
      </c>
      <c r="D35" s="259">
        <f t="shared" si="7"/>
        <v>3399.5261564766624</v>
      </c>
      <c r="E35" s="259">
        <f t="shared" si="0"/>
        <v>7.9471957708744618</v>
      </c>
      <c r="F35" s="259">
        <v>4</v>
      </c>
      <c r="G35" s="259">
        <f t="shared" si="4"/>
        <v>3411.4733522475367</v>
      </c>
      <c r="H35" s="259">
        <f t="shared" si="5"/>
        <v>15673.743693622044</v>
      </c>
      <c r="I35" s="259">
        <f t="shared" si="2"/>
        <v>3411.4733522475367</v>
      </c>
      <c r="K35" s="261">
        <f t="shared" si="3"/>
        <v>11.947195770874462</v>
      </c>
      <c r="L35" s="261"/>
    </row>
    <row r="36" spans="1:12" x14ac:dyDescent="0.35">
      <c r="A36" s="533">
        <v>23</v>
      </c>
      <c r="B36" s="259">
        <f t="shared" si="6"/>
        <v>264.77741775225331</v>
      </c>
      <c r="C36" s="259">
        <f t="shared" si="1"/>
        <v>3134.7487387244091</v>
      </c>
      <c r="D36" s="259">
        <f t="shared" si="7"/>
        <v>3399.5261564766624</v>
      </c>
      <c r="E36" s="259">
        <f t="shared" si="0"/>
        <v>7.8368718468110217</v>
      </c>
      <c r="F36" s="259">
        <v>4</v>
      </c>
      <c r="G36" s="259">
        <f t="shared" si="4"/>
        <v>3411.3630283234734</v>
      </c>
      <c r="H36" s="259">
        <f t="shared" si="5"/>
        <v>15408.96627586979</v>
      </c>
      <c r="I36" s="259">
        <f t="shared" si="2"/>
        <v>3411.3630283234734</v>
      </c>
      <c r="K36" s="261">
        <f t="shared" si="3"/>
        <v>11.836871846811022</v>
      </c>
      <c r="L36" s="261"/>
    </row>
    <row r="37" spans="1:12" x14ac:dyDescent="0.35">
      <c r="A37" s="533">
        <v>24</v>
      </c>
      <c r="B37" s="259">
        <f t="shared" si="6"/>
        <v>317.73290130270425</v>
      </c>
      <c r="C37" s="259">
        <f t="shared" si="1"/>
        <v>3081.7932551739582</v>
      </c>
      <c r="D37" s="259">
        <f t="shared" si="7"/>
        <v>3399.5261564766624</v>
      </c>
      <c r="E37" s="259">
        <f t="shared" si="0"/>
        <v>7.7044831379348953</v>
      </c>
      <c r="F37" s="259">
        <v>4</v>
      </c>
      <c r="G37" s="259">
        <f t="shared" si="4"/>
        <v>3411.2306396145973</v>
      </c>
      <c r="H37" s="259">
        <f t="shared" si="5"/>
        <v>15091.233374567086</v>
      </c>
      <c r="I37" s="259">
        <f t="shared" si="2"/>
        <v>3411.2306396145973</v>
      </c>
      <c r="K37" s="261">
        <f t="shared" si="3"/>
        <v>11.704483137934895</v>
      </c>
      <c r="L37" s="261"/>
    </row>
    <row r="38" spans="1:12" x14ac:dyDescent="0.35">
      <c r="A38" s="533">
        <v>25</v>
      </c>
      <c r="B38" s="259">
        <f t="shared" ref="B38:B49" si="8">+D38-C38</f>
        <v>381.2794815632451</v>
      </c>
      <c r="C38" s="259">
        <f t="shared" ref="C38:C49" si="9">+H$7*H37</f>
        <v>3018.2466749134173</v>
      </c>
      <c r="D38" s="259">
        <f t="shared" ref="D38:D49" si="10">+D37</f>
        <v>3399.5261564766624</v>
      </c>
      <c r="E38" s="259">
        <f t="shared" si="0"/>
        <v>7.5456166872835428</v>
      </c>
      <c r="F38" s="259">
        <v>4</v>
      </c>
      <c r="G38" s="259">
        <f t="shared" ref="G38:G49" si="11">+B38+C38+E38+F38</f>
        <v>3411.0717731639461</v>
      </c>
      <c r="H38" s="259">
        <f t="shared" ref="H38:H49" si="12">+H37-B38</f>
        <v>14709.95389300384</v>
      </c>
      <c r="I38" s="259">
        <f t="shared" si="2"/>
        <v>3411.0717731639461</v>
      </c>
      <c r="K38" s="261">
        <f t="shared" ref="K38:K49" si="13">+E38+F38</f>
        <v>11.545616687283543</v>
      </c>
      <c r="L38" s="261"/>
    </row>
    <row r="39" spans="1:12" x14ac:dyDescent="0.35">
      <c r="A39" s="533">
        <v>26</v>
      </c>
      <c r="B39" s="259">
        <f t="shared" si="8"/>
        <v>457.53537787589448</v>
      </c>
      <c r="C39" s="259">
        <f t="shared" si="9"/>
        <v>2941.990778600768</v>
      </c>
      <c r="D39" s="259">
        <f t="shared" si="10"/>
        <v>3399.5261564766624</v>
      </c>
      <c r="E39" s="259">
        <f t="shared" si="0"/>
        <v>7.3549769465019201</v>
      </c>
      <c r="F39" s="259">
        <v>4</v>
      </c>
      <c r="G39" s="259">
        <f t="shared" si="11"/>
        <v>3410.8811334231646</v>
      </c>
      <c r="H39" s="259">
        <f t="shared" si="12"/>
        <v>14252.418515127945</v>
      </c>
      <c r="I39" s="259">
        <f t="shared" si="2"/>
        <v>3410.8811334231646</v>
      </c>
      <c r="K39" s="261">
        <f t="shared" si="13"/>
        <v>11.354976946501921</v>
      </c>
      <c r="L39" s="261"/>
    </row>
    <row r="40" spans="1:12" x14ac:dyDescent="0.35">
      <c r="A40" s="533">
        <v>27</v>
      </c>
      <c r="B40" s="259">
        <f t="shared" si="8"/>
        <v>549.04245345107302</v>
      </c>
      <c r="C40" s="259">
        <f t="shared" si="9"/>
        <v>2850.4837030255894</v>
      </c>
      <c r="D40" s="259">
        <f t="shared" si="10"/>
        <v>3399.5261564766624</v>
      </c>
      <c r="E40" s="259">
        <f t="shared" si="0"/>
        <v>7.1262092575639731</v>
      </c>
      <c r="F40" s="259">
        <v>4</v>
      </c>
      <c r="G40" s="259">
        <f t="shared" si="11"/>
        <v>3410.6523657342264</v>
      </c>
      <c r="H40" s="259">
        <f t="shared" si="12"/>
        <v>13703.376061676872</v>
      </c>
      <c r="I40" s="259">
        <f t="shared" si="2"/>
        <v>3410.6523657342264</v>
      </c>
      <c r="K40" s="261">
        <f t="shared" si="13"/>
        <v>11.126209257563973</v>
      </c>
      <c r="L40" s="261"/>
    </row>
    <row r="41" spans="1:12" x14ac:dyDescent="0.35">
      <c r="A41" s="533">
        <v>28</v>
      </c>
      <c r="B41" s="259">
        <f t="shared" si="8"/>
        <v>658.85094414128798</v>
      </c>
      <c r="C41" s="259">
        <f t="shared" si="9"/>
        <v>2740.6752123353745</v>
      </c>
      <c r="D41" s="259">
        <f t="shared" si="10"/>
        <v>3399.5261564766624</v>
      </c>
      <c r="E41" s="259">
        <f t="shared" si="0"/>
        <v>6.851688030838436</v>
      </c>
      <c r="F41" s="259">
        <v>4</v>
      </c>
      <c r="G41" s="259">
        <f t="shared" si="11"/>
        <v>3410.3778445075009</v>
      </c>
      <c r="H41" s="259">
        <f t="shared" si="12"/>
        <v>13044.525117535584</v>
      </c>
      <c r="I41" s="259">
        <f t="shared" si="2"/>
        <v>3410.3778445075009</v>
      </c>
      <c r="K41" s="261">
        <f t="shared" si="13"/>
        <v>10.851688030838435</v>
      </c>
      <c r="L41" s="261"/>
    </row>
    <row r="42" spans="1:12" x14ac:dyDescent="0.35">
      <c r="A42" s="533">
        <v>29</v>
      </c>
      <c r="B42" s="259">
        <f t="shared" si="8"/>
        <v>790.62113296954522</v>
      </c>
      <c r="C42" s="259">
        <f t="shared" si="9"/>
        <v>2608.9050235071172</v>
      </c>
      <c r="D42" s="259">
        <f t="shared" si="10"/>
        <v>3399.5261564766624</v>
      </c>
      <c r="E42" s="259">
        <f t="shared" si="0"/>
        <v>6.5222625587677925</v>
      </c>
      <c r="F42" s="259">
        <v>4</v>
      </c>
      <c r="G42" s="259">
        <f t="shared" si="11"/>
        <v>3410.04841903543</v>
      </c>
      <c r="H42" s="259">
        <f t="shared" si="12"/>
        <v>12253.903984566039</v>
      </c>
      <c r="I42" s="259">
        <f t="shared" si="2"/>
        <v>3410.04841903543</v>
      </c>
      <c r="K42" s="261">
        <f t="shared" si="13"/>
        <v>10.522262558767792</v>
      </c>
      <c r="L42" s="261"/>
    </row>
    <row r="43" spans="1:12" x14ac:dyDescent="0.35">
      <c r="A43" s="533">
        <v>30</v>
      </c>
      <c r="B43" s="259">
        <f t="shared" si="8"/>
        <v>948.74535956345471</v>
      </c>
      <c r="C43" s="259">
        <f t="shared" si="9"/>
        <v>2450.7807969132077</v>
      </c>
      <c r="D43" s="259">
        <f t="shared" si="10"/>
        <v>3399.5261564766624</v>
      </c>
      <c r="E43" s="259">
        <f t="shared" si="0"/>
        <v>6.1269519922830193</v>
      </c>
      <c r="F43" s="259">
        <v>4</v>
      </c>
      <c r="G43" s="259">
        <f t="shared" si="11"/>
        <v>3409.6531084689454</v>
      </c>
      <c r="H43" s="259">
        <f t="shared" si="12"/>
        <v>11305.158625002585</v>
      </c>
      <c r="I43" s="259">
        <f t="shared" si="2"/>
        <v>3409.6531084689454</v>
      </c>
      <c r="K43" s="261">
        <f t="shared" si="13"/>
        <v>10.126951992283018</v>
      </c>
      <c r="L43" s="261"/>
    </row>
    <row r="44" spans="1:12" x14ac:dyDescent="0.35">
      <c r="A44" s="533">
        <v>31</v>
      </c>
      <c r="B44" s="259">
        <f t="shared" si="8"/>
        <v>1138.4944314761456</v>
      </c>
      <c r="C44" s="259">
        <f t="shared" si="9"/>
        <v>2261.0317250005169</v>
      </c>
      <c r="D44" s="259">
        <f t="shared" si="10"/>
        <v>3399.5261564766624</v>
      </c>
      <c r="E44" s="259">
        <f t="shared" si="0"/>
        <v>5.6525793125012926</v>
      </c>
      <c r="F44" s="259">
        <v>4</v>
      </c>
      <c r="G44" s="259">
        <f t="shared" si="11"/>
        <v>3409.1787357891635</v>
      </c>
      <c r="H44" s="259">
        <f t="shared" si="12"/>
        <v>10166.66419352644</v>
      </c>
      <c r="I44" s="259">
        <f t="shared" si="2"/>
        <v>3409.1787357891635</v>
      </c>
      <c r="K44" s="261">
        <f t="shared" si="13"/>
        <v>9.6525793125012918</v>
      </c>
      <c r="L44" s="261"/>
    </row>
    <row r="45" spans="1:12" x14ac:dyDescent="0.35">
      <c r="A45" s="533">
        <v>32</v>
      </c>
      <c r="B45" s="259">
        <f t="shared" si="8"/>
        <v>1366.1933177713745</v>
      </c>
      <c r="C45" s="259">
        <f t="shared" si="9"/>
        <v>2033.3328387052879</v>
      </c>
      <c r="D45" s="259">
        <f t="shared" si="10"/>
        <v>3399.5261564766624</v>
      </c>
      <c r="E45" s="259">
        <f t="shared" si="0"/>
        <v>5.0833320967632201</v>
      </c>
      <c r="F45" s="259">
        <v>4</v>
      </c>
      <c r="G45" s="259">
        <f t="shared" si="11"/>
        <v>3408.6094885734256</v>
      </c>
      <c r="H45" s="259">
        <f t="shared" si="12"/>
        <v>8800.4708757550652</v>
      </c>
      <c r="I45" s="259">
        <f t="shared" si="2"/>
        <v>3408.6094885734256</v>
      </c>
      <c r="K45" s="261">
        <f t="shared" si="13"/>
        <v>9.0833320967632201</v>
      </c>
      <c r="L45" s="261"/>
    </row>
    <row r="46" spans="1:12" x14ac:dyDescent="0.35">
      <c r="A46" s="533">
        <v>33</v>
      </c>
      <c r="B46" s="259">
        <f t="shared" si="8"/>
        <v>1639.4319813256493</v>
      </c>
      <c r="C46" s="259">
        <f t="shared" si="9"/>
        <v>1760.0941751510131</v>
      </c>
      <c r="D46" s="259">
        <f t="shared" si="10"/>
        <v>3399.5261564766624</v>
      </c>
      <c r="E46" s="259">
        <f t="shared" si="0"/>
        <v>4.4002354378775328</v>
      </c>
      <c r="F46" s="259">
        <v>4</v>
      </c>
      <c r="G46" s="259">
        <f t="shared" si="11"/>
        <v>3407.9263919145401</v>
      </c>
      <c r="H46" s="259">
        <f t="shared" si="12"/>
        <v>7161.0388944294154</v>
      </c>
      <c r="I46" s="259">
        <f t="shared" si="2"/>
        <v>3407.9263919145401</v>
      </c>
      <c r="K46" s="261">
        <f t="shared" si="13"/>
        <v>8.4002354378775337</v>
      </c>
      <c r="L46" s="261"/>
    </row>
    <row r="47" spans="1:12" x14ac:dyDescent="0.35">
      <c r="A47" s="533">
        <v>34</v>
      </c>
      <c r="B47" s="259">
        <f t="shared" si="8"/>
        <v>1967.3183775907792</v>
      </c>
      <c r="C47" s="259">
        <f t="shared" si="9"/>
        <v>1432.2077788858833</v>
      </c>
      <c r="D47" s="259">
        <f t="shared" si="10"/>
        <v>3399.5261564766624</v>
      </c>
      <c r="E47" s="259">
        <f t="shared" si="0"/>
        <v>3.5805194472147077</v>
      </c>
      <c r="F47" s="259">
        <v>4</v>
      </c>
      <c r="G47" s="259">
        <f t="shared" si="11"/>
        <v>3407.106675923877</v>
      </c>
      <c r="H47" s="259">
        <f t="shared" si="12"/>
        <v>5193.7205168386363</v>
      </c>
      <c r="I47" s="259">
        <f t="shared" si="2"/>
        <v>3407.106675923877</v>
      </c>
      <c r="K47" s="261">
        <f t="shared" si="13"/>
        <v>7.5805194472147077</v>
      </c>
      <c r="L47" s="261"/>
    </row>
    <row r="48" spans="1:12" x14ac:dyDescent="0.35">
      <c r="A48" s="533">
        <v>35</v>
      </c>
      <c r="B48" s="259">
        <f t="shared" si="8"/>
        <v>2360.7820531089351</v>
      </c>
      <c r="C48" s="259">
        <f t="shared" si="9"/>
        <v>1038.7441033677273</v>
      </c>
      <c r="D48" s="259">
        <f t="shared" si="10"/>
        <v>3399.5261564766624</v>
      </c>
      <c r="E48" s="259">
        <f t="shared" si="0"/>
        <v>2.5968602584193183</v>
      </c>
      <c r="F48" s="259">
        <v>4</v>
      </c>
      <c r="G48" s="259">
        <f t="shared" si="11"/>
        <v>3406.1230167350818</v>
      </c>
      <c r="H48" s="259">
        <f t="shared" si="12"/>
        <v>2832.9384637297012</v>
      </c>
      <c r="I48" s="259">
        <f t="shared" si="2"/>
        <v>3406.1230167350818</v>
      </c>
      <c r="K48" s="261">
        <f t="shared" si="13"/>
        <v>6.5968602584193183</v>
      </c>
      <c r="L48" s="261"/>
    </row>
    <row r="49" spans="1:13" x14ac:dyDescent="0.35">
      <c r="A49" s="533">
        <v>36</v>
      </c>
      <c r="B49" s="259">
        <f t="shared" si="8"/>
        <v>2832.9384637307221</v>
      </c>
      <c r="C49" s="259">
        <f t="shared" si="9"/>
        <v>566.58769274594022</v>
      </c>
      <c r="D49" s="259">
        <f t="shared" si="10"/>
        <v>3399.5261564766624</v>
      </c>
      <c r="E49" s="259">
        <f t="shared" si="0"/>
        <v>1.4164692318648506</v>
      </c>
      <c r="F49" s="259">
        <v>4</v>
      </c>
      <c r="G49" s="259">
        <f t="shared" si="11"/>
        <v>3404.9426257085274</v>
      </c>
      <c r="H49" s="259">
        <f t="shared" si="12"/>
        <v>-1.0209078027401119E-9</v>
      </c>
      <c r="I49" s="259">
        <f t="shared" si="2"/>
        <v>3404.9426257085274</v>
      </c>
      <c r="K49" s="261">
        <f t="shared" si="13"/>
        <v>5.4164692318648502</v>
      </c>
      <c r="L49" s="261"/>
    </row>
    <row r="51" spans="1:13" ht="13.15" x14ac:dyDescent="0.4">
      <c r="B51" s="261">
        <f>SUM(B14:B50)</f>
        <v>16926.024519272825</v>
      </c>
      <c r="C51" s="261">
        <f>SUM(C14:C50)</f>
        <v>102337.09510531517</v>
      </c>
      <c r="E51" s="261">
        <f>SUM(E14:E50)</f>
        <v>255.84273776328786</v>
      </c>
      <c r="F51" s="261">
        <f>SUM(F14:F50)</f>
        <v>144</v>
      </c>
      <c r="G51" s="261">
        <f>SUM(G14:G50)-H13</f>
        <v>102736.93784307945</v>
      </c>
      <c r="H51" s="286" t="s">
        <v>241</v>
      </c>
      <c r="I51" s="287">
        <f>IRR(I13:I49,0.01)</f>
        <v>0.20077431969285398</v>
      </c>
      <c r="J51" s="261"/>
      <c r="K51" s="261">
        <f>SUM(K14:K50)</f>
        <v>399.84273776328791</v>
      </c>
      <c r="L51" s="261"/>
    </row>
    <row r="52" spans="1:13" ht="13.15" x14ac:dyDescent="0.4">
      <c r="G52" s="261"/>
      <c r="H52" s="288" t="s">
        <v>242</v>
      </c>
      <c r="I52" s="289">
        <f>+(I51+1)^12-1</f>
        <v>7.985385115076582</v>
      </c>
    </row>
    <row r="53" spans="1:13" x14ac:dyDescent="0.35">
      <c r="B53" s="2" t="s">
        <v>212</v>
      </c>
      <c r="M53" s="77" t="s">
        <v>243</v>
      </c>
    </row>
    <row r="54" spans="1:13" x14ac:dyDescent="0.35">
      <c r="M54" s="77" t="s">
        <v>244</v>
      </c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">
    <pageSetUpPr fitToPage="1"/>
  </sheetPr>
  <dimension ref="B2:AP76"/>
  <sheetViews>
    <sheetView showGridLines="0" zoomScale="80" zoomScaleNormal="80" workbookViewId="0">
      <selection activeCell="A12" sqref="A12"/>
    </sheetView>
  </sheetViews>
  <sheetFormatPr baseColWidth="10" defaultColWidth="11.46484375" defaultRowHeight="12.75" x14ac:dyDescent="0.35"/>
  <cols>
    <col min="1" max="1" width="2.46484375" style="2" customWidth="1"/>
    <col min="2" max="2" width="22.46484375" style="2" customWidth="1"/>
    <col min="3" max="3" width="10.6640625" style="2" customWidth="1"/>
    <col min="4" max="7" width="8.46484375" style="2" customWidth="1"/>
    <col min="8" max="8" width="15.6640625" style="2" customWidth="1"/>
    <col min="9" max="39" width="8.46484375" style="2" customWidth="1"/>
    <col min="40" max="16384" width="11.46484375" style="2"/>
  </cols>
  <sheetData>
    <row r="2" spans="2:42" ht="43.5" customHeight="1" x14ac:dyDescent="0.6">
      <c r="B2" s="7" t="s">
        <v>245</v>
      </c>
      <c r="C2" s="6"/>
      <c r="D2" s="6"/>
      <c r="E2" s="6"/>
      <c r="F2" s="6"/>
      <c r="G2" s="6"/>
      <c r="H2" s="6"/>
      <c r="I2" s="6"/>
      <c r="J2" s="6"/>
      <c r="K2" s="6"/>
      <c r="L2" s="142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</row>
    <row r="3" spans="2:42" ht="43.5" customHeight="1" x14ac:dyDescent="0.6">
      <c r="B3" s="7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</row>
    <row r="4" spans="2:42" ht="13.5" x14ac:dyDescent="0.35">
      <c r="C4" s="52" t="s">
        <v>226</v>
      </c>
      <c r="G4" s="2" t="s">
        <v>82</v>
      </c>
      <c r="H4" s="336">
        <f>+Inversiones!C91</f>
        <v>9774.5</v>
      </c>
      <c r="I4" s="679"/>
    </row>
    <row r="5" spans="2:42" ht="18" customHeight="1" x14ac:dyDescent="0.4">
      <c r="B5" s="53"/>
      <c r="C5" s="52" t="s">
        <v>227</v>
      </c>
      <c r="F5" s="54"/>
      <c r="G5" s="2" t="s">
        <v>111</v>
      </c>
      <c r="H5" s="337">
        <f>+'Cronogr pag'!H7</f>
        <v>0.2</v>
      </c>
      <c r="I5" s="679"/>
    </row>
    <row r="6" spans="2:42" ht="18" customHeight="1" x14ac:dyDescent="0.4">
      <c r="B6" s="53"/>
      <c r="C6" s="52" t="s">
        <v>228</v>
      </c>
      <c r="F6" s="51"/>
      <c r="G6" s="2" t="s">
        <v>229</v>
      </c>
      <c r="H6" s="338">
        <f>+'Cronogr pag'!H8</f>
        <v>36</v>
      </c>
      <c r="I6" s="679"/>
    </row>
    <row r="7" spans="2:42" ht="18" customHeight="1" x14ac:dyDescent="0.4">
      <c r="B7" s="53"/>
      <c r="C7" s="52" t="s">
        <v>230</v>
      </c>
      <c r="F7" s="51"/>
      <c r="G7" s="2" t="s">
        <v>229</v>
      </c>
      <c r="H7" s="338">
        <f>+'Cronogr pag'!H9</f>
        <v>0</v>
      </c>
      <c r="I7" s="50"/>
    </row>
    <row r="9" spans="2:42" ht="13.15" thickBot="1" x14ac:dyDescent="0.4">
      <c r="D9" s="49">
        <v>1</v>
      </c>
      <c r="E9" s="49">
        <v>2</v>
      </c>
      <c r="F9" s="49">
        <v>3</v>
      </c>
      <c r="G9" s="49">
        <v>4</v>
      </c>
      <c r="H9" s="49">
        <v>5</v>
      </c>
      <c r="I9" s="49">
        <v>6</v>
      </c>
      <c r="J9" s="49">
        <v>7</v>
      </c>
      <c r="K9" s="49">
        <v>8</v>
      </c>
      <c r="L9" s="49">
        <v>9</v>
      </c>
      <c r="M9" s="49">
        <v>10</v>
      </c>
      <c r="N9" s="49">
        <v>11</v>
      </c>
      <c r="O9" s="49">
        <v>12</v>
      </c>
      <c r="P9" s="49"/>
      <c r="Q9" s="49"/>
      <c r="R9" s="49"/>
      <c r="S9" s="49"/>
      <c r="T9" s="49"/>
      <c r="U9" s="49"/>
      <c r="V9" s="49"/>
      <c r="W9" s="49"/>
      <c r="X9" s="49"/>
      <c r="Y9" s="49"/>
      <c r="Z9" s="49"/>
      <c r="AA9" s="49"/>
      <c r="AB9" s="49"/>
      <c r="AC9" s="49"/>
      <c r="AD9" s="49"/>
      <c r="AE9" s="49"/>
      <c r="AF9" s="49"/>
      <c r="AG9" s="49"/>
      <c r="AH9" s="49"/>
      <c r="AI9" s="49"/>
      <c r="AJ9" s="49"/>
      <c r="AK9" s="49"/>
      <c r="AL9" s="49"/>
      <c r="AM9" s="49"/>
    </row>
    <row r="10" spans="2:42" ht="18" customHeight="1" thickBot="1" x14ac:dyDescent="0.45">
      <c r="B10" s="61" t="s">
        <v>77</v>
      </c>
      <c r="C10" s="61" t="s">
        <v>246</v>
      </c>
      <c r="D10" s="61" t="s">
        <v>247</v>
      </c>
      <c r="E10" s="61" t="s">
        <v>248</v>
      </c>
      <c r="F10" s="61" t="s">
        <v>249</v>
      </c>
      <c r="G10" s="61" t="s">
        <v>250</v>
      </c>
      <c r="H10" s="61" t="s">
        <v>251</v>
      </c>
      <c r="I10" s="61" t="s">
        <v>252</v>
      </c>
      <c r="J10" s="61" t="s">
        <v>253</v>
      </c>
      <c r="K10" s="61" t="s">
        <v>254</v>
      </c>
      <c r="L10" s="61" t="s">
        <v>255</v>
      </c>
      <c r="M10" s="61" t="s">
        <v>256</v>
      </c>
      <c r="N10" s="61" t="s">
        <v>257</v>
      </c>
      <c r="O10" s="256" t="s">
        <v>258</v>
      </c>
      <c r="P10" s="258" t="s">
        <v>259</v>
      </c>
      <c r="Q10" s="256" t="s">
        <v>260</v>
      </c>
      <c r="R10" s="256" t="s">
        <v>261</v>
      </c>
      <c r="S10" s="256" t="s">
        <v>262</v>
      </c>
      <c r="T10" s="256" t="s">
        <v>263</v>
      </c>
      <c r="U10" s="256" t="s">
        <v>264</v>
      </c>
      <c r="V10" s="256" t="s">
        <v>265</v>
      </c>
      <c r="W10" s="256" t="s">
        <v>266</v>
      </c>
      <c r="X10" s="256" t="s">
        <v>267</v>
      </c>
      <c r="Y10" s="256" t="s">
        <v>268</v>
      </c>
      <c r="Z10" s="256" t="s">
        <v>269</v>
      </c>
      <c r="AA10" s="256" t="s">
        <v>270</v>
      </c>
      <c r="AB10" s="256" t="s">
        <v>271</v>
      </c>
      <c r="AC10" s="256" t="s">
        <v>272</v>
      </c>
      <c r="AD10" s="256" t="s">
        <v>273</v>
      </c>
      <c r="AE10" s="256" t="s">
        <v>274</v>
      </c>
      <c r="AF10" s="256" t="s">
        <v>275</v>
      </c>
      <c r="AG10" s="256" t="s">
        <v>276</v>
      </c>
      <c r="AH10" s="256" t="s">
        <v>277</v>
      </c>
      <c r="AI10" s="256" t="s">
        <v>278</v>
      </c>
      <c r="AJ10" s="256" t="s">
        <v>279</v>
      </c>
      <c r="AK10" s="256" t="s">
        <v>280</v>
      </c>
      <c r="AL10" s="256" t="s">
        <v>281</v>
      </c>
      <c r="AM10" s="256" t="s">
        <v>282</v>
      </c>
      <c r="AN10" s="257" t="s">
        <v>50</v>
      </c>
    </row>
    <row r="11" spans="2:42" ht="15.75" customHeight="1" x14ac:dyDescent="0.4">
      <c r="B11" s="34" t="s">
        <v>283</v>
      </c>
      <c r="C11" s="268">
        <f>H4</f>
        <v>9774.5</v>
      </c>
      <c r="D11" s="48"/>
      <c r="E11" s="278"/>
      <c r="F11" s="48"/>
      <c r="G11" s="48"/>
      <c r="H11" s="48"/>
      <c r="I11" s="48"/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279">
        <f>SUM(C11:AM11)</f>
        <v>9774.5</v>
      </c>
    </row>
    <row r="12" spans="2:42" ht="15.75" customHeight="1" x14ac:dyDescent="0.35">
      <c r="B12" s="31" t="s">
        <v>107</v>
      </c>
      <c r="C12" s="269"/>
      <c r="D12" s="265">
        <f>+'Cronogr pag'!B14</f>
        <v>0</v>
      </c>
      <c r="E12" s="265">
        <f>+'Cronogr pag'!B15</f>
        <v>0</v>
      </c>
      <c r="F12" s="265">
        <f>+'Cronogr pag'!B16</f>
        <v>0</v>
      </c>
      <c r="G12" s="265">
        <f>+'Cronogr pag'!B17</f>
        <v>0</v>
      </c>
      <c r="H12" s="265">
        <f>+'Cronogr pag'!B18</f>
        <v>0</v>
      </c>
      <c r="I12" s="265">
        <f>+'Cronogr pag'!B19</f>
        <v>0</v>
      </c>
      <c r="J12" s="265">
        <f>+'Cronogr pag'!B20</f>
        <v>14.321252622299653</v>
      </c>
      <c r="K12" s="265">
        <f>+'Cronogr pag'!B21</f>
        <v>17.185503146759402</v>
      </c>
      <c r="L12" s="265">
        <f>+'Cronogr pag'!B22</f>
        <v>20.622603776111646</v>
      </c>
      <c r="M12" s="265">
        <f>+'Cronogr pag'!B23</f>
        <v>24.747124531333611</v>
      </c>
      <c r="N12" s="265">
        <f>+'Cronogr pag'!B24</f>
        <v>29.696549437600879</v>
      </c>
      <c r="O12" s="265">
        <f>+'Cronogr pag'!B25</f>
        <v>35.635859325121146</v>
      </c>
      <c r="P12" s="265">
        <f>+'Cronogr pag'!B26</f>
        <v>42.763031190145284</v>
      </c>
      <c r="Q12" s="265">
        <f>+'Cronogr pag'!B27</f>
        <v>51.315637428174341</v>
      </c>
      <c r="R12" s="265">
        <f>+'Cronogr pag'!B28</f>
        <v>61.578764913809209</v>
      </c>
      <c r="S12" s="265">
        <f>+'Cronogr pag'!B29</f>
        <v>73.894517896571415</v>
      </c>
      <c r="T12" s="265">
        <f>+'Cronogr pag'!B30</f>
        <v>88.673421475886244</v>
      </c>
      <c r="U12" s="265">
        <f>+'Cronogr pag'!B31</f>
        <v>106.40810577106367</v>
      </c>
      <c r="V12" s="265">
        <f>+'Cronogr pag'!B32</f>
        <v>127.68972692527677</v>
      </c>
      <c r="W12" s="265">
        <f>+'Cronogr pag'!B33</f>
        <v>153.22767231033185</v>
      </c>
      <c r="X12" s="265">
        <f>+'Cronogr pag'!B34</f>
        <v>183.87320677239813</v>
      </c>
      <c r="Y12" s="265">
        <f>+'Cronogr pag'!B35</f>
        <v>220.64784812687776</v>
      </c>
      <c r="Z12" s="265">
        <f>+'Cronogr pag'!B36</f>
        <v>264.77741775225331</v>
      </c>
      <c r="AA12" s="265">
        <f>+'Cronogr pag'!B37</f>
        <v>317.73290130270425</v>
      </c>
      <c r="AB12" s="265">
        <f>+'Cronogr pag'!B38</f>
        <v>381.2794815632451</v>
      </c>
      <c r="AC12" s="265">
        <f>+'Cronogr pag'!B39</f>
        <v>457.53537787589448</v>
      </c>
      <c r="AD12" s="265">
        <f>+'Cronogr pag'!B40</f>
        <v>549.04245345107302</v>
      </c>
      <c r="AE12" s="265">
        <f>+'Cronogr pag'!B41</f>
        <v>658.85094414128798</v>
      </c>
      <c r="AF12" s="265">
        <f>+'Cronogr pag'!B42</f>
        <v>790.62113296954522</v>
      </c>
      <c r="AG12" s="265">
        <f>+'Cronogr pag'!B43</f>
        <v>948.74535956345471</v>
      </c>
      <c r="AH12" s="265">
        <f>+'Cronogr pag'!B44</f>
        <v>1138.4944314761456</v>
      </c>
      <c r="AI12" s="265">
        <f>+'Cronogr pag'!B45</f>
        <v>1366.1933177713745</v>
      </c>
      <c r="AJ12" s="265">
        <f>+'Cronogr pag'!B46</f>
        <v>1639.4319813256493</v>
      </c>
      <c r="AK12" s="265">
        <f>+'Cronogr pag'!B47</f>
        <v>1967.3183775907792</v>
      </c>
      <c r="AL12" s="265">
        <f>+'Cronogr pag'!B48</f>
        <v>2360.7820531089351</v>
      </c>
      <c r="AM12" s="265">
        <f>+'Cronogr pag'!B49</f>
        <v>2832.9384637307221</v>
      </c>
      <c r="AN12" s="280">
        <f>SUM(C12:AM12)</f>
        <v>16926.024519272825</v>
      </c>
      <c r="AP12" s="178"/>
    </row>
    <row r="13" spans="2:42" ht="15.75" customHeight="1" x14ac:dyDescent="0.35">
      <c r="B13" s="47" t="s">
        <v>284</v>
      </c>
      <c r="C13" s="266"/>
      <c r="D13" s="266">
        <f>+'Cronogr pag'!H14</f>
        <v>11738.287249999999</v>
      </c>
      <c r="E13" s="266">
        <f>+'Cronogr pag'!H15</f>
        <v>14095.813843624999</v>
      </c>
      <c r="F13" s="266">
        <f>+'Cronogr pag'!H16</f>
        <v>16926.024519271814</v>
      </c>
      <c r="G13" s="266">
        <f>+'Cronogr pag'!H17</f>
        <v>16926.024519271814</v>
      </c>
      <c r="H13" s="266">
        <f>+'Cronogr pag'!H18</f>
        <v>16926.024519271814</v>
      </c>
      <c r="I13" s="266">
        <f>+'Cronogr pag'!H19</f>
        <v>16926.024519271814</v>
      </c>
      <c r="J13" s="266">
        <f t="shared" ref="J13:O13" si="0">I13-J12</f>
        <v>16911.703266649514</v>
      </c>
      <c r="K13" s="266">
        <f t="shared" si="0"/>
        <v>16894.517763502754</v>
      </c>
      <c r="L13" s="266">
        <f t="shared" si="0"/>
        <v>16873.895159726642</v>
      </c>
      <c r="M13" s="266">
        <f t="shared" si="0"/>
        <v>16849.148035195307</v>
      </c>
      <c r="N13" s="266">
        <f t="shared" si="0"/>
        <v>16819.451485757705</v>
      </c>
      <c r="O13" s="266">
        <f t="shared" si="0"/>
        <v>16783.815626432584</v>
      </c>
      <c r="P13" s="266">
        <f t="shared" ref="P13:AA13" si="1">O13-P12</f>
        <v>16741.05259524244</v>
      </c>
      <c r="Q13" s="266">
        <f t="shared" si="1"/>
        <v>16689.736957814264</v>
      </c>
      <c r="R13" s="266">
        <f t="shared" si="1"/>
        <v>16628.158192900453</v>
      </c>
      <c r="S13" s="266">
        <f t="shared" si="1"/>
        <v>16554.26367500388</v>
      </c>
      <c r="T13" s="266">
        <f t="shared" si="1"/>
        <v>16465.590253527993</v>
      </c>
      <c r="U13" s="266">
        <f t="shared" si="1"/>
        <v>16359.182147756928</v>
      </c>
      <c r="V13" s="266">
        <f t="shared" si="1"/>
        <v>16231.492420831652</v>
      </c>
      <c r="W13" s="266">
        <f t="shared" si="1"/>
        <v>16078.26474852132</v>
      </c>
      <c r="X13" s="266">
        <f t="shared" si="1"/>
        <v>15894.391541748922</v>
      </c>
      <c r="Y13" s="266">
        <f t="shared" si="1"/>
        <v>15673.743693622044</v>
      </c>
      <c r="Z13" s="266">
        <f t="shared" si="1"/>
        <v>15408.96627586979</v>
      </c>
      <c r="AA13" s="266">
        <f t="shared" si="1"/>
        <v>15091.233374567086</v>
      </c>
      <c r="AB13" s="266">
        <f t="shared" ref="AB13:AM13" si="2">AA13-AB12</f>
        <v>14709.95389300384</v>
      </c>
      <c r="AC13" s="266">
        <f t="shared" si="2"/>
        <v>14252.418515127945</v>
      </c>
      <c r="AD13" s="266">
        <f t="shared" si="2"/>
        <v>13703.376061676872</v>
      </c>
      <c r="AE13" s="266">
        <f t="shared" si="2"/>
        <v>13044.525117535584</v>
      </c>
      <c r="AF13" s="266">
        <f t="shared" si="2"/>
        <v>12253.903984566039</v>
      </c>
      <c r="AG13" s="266">
        <f t="shared" si="2"/>
        <v>11305.158625002585</v>
      </c>
      <c r="AH13" s="266">
        <f t="shared" si="2"/>
        <v>10166.66419352644</v>
      </c>
      <c r="AI13" s="266">
        <f t="shared" si="2"/>
        <v>8800.4708757550652</v>
      </c>
      <c r="AJ13" s="266">
        <f t="shared" si="2"/>
        <v>7161.0388944294154</v>
      </c>
      <c r="AK13" s="266">
        <f t="shared" si="2"/>
        <v>5193.7205168386363</v>
      </c>
      <c r="AL13" s="266">
        <f t="shared" si="2"/>
        <v>2832.9384637297012</v>
      </c>
      <c r="AM13" s="266">
        <f t="shared" si="2"/>
        <v>-1.0209078027401119E-9</v>
      </c>
      <c r="AN13" s="281"/>
      <c r="AP13" s="178"/>
    </row>
    <row r="14" spans="2:42" ht="15.75" customHeight="1" x14ac:dyDescent="0.35">
      <c r="B14" s="31" t="s">
        <v>285</v>
      </c>
      <c r="C14" s="269"/>
      <c r="D14" s="269">
        <f>+'Cronogr pag'!C14</f>
        <v>1954.9</v>
      </c>
      <c r="E14" s="269">
        <f>+'Cronogr pag'!C15</f>
        <v>2347.6574500000002</v>
      </c>
      <c r="F14" s="269">
        <f>+'Cronogr pag'!C16</f>
        <v>2819.1627687250002</v>
      </c>
      <c r="G14" s="269">
        <f>+'Cronogr pag'!C17</f>
        <v>3385.2049038543628</v>
      </c>
      <c r="H14" s="269">
        <f>+'Cronogr pag'!C18</f>
        <v>3385.2049038543628</v>
      </c>
      <c r="I14" s="269">
        <f>+'Cronogr pag'!C19</f>
        <v>3385.2049038543628</v>
      </c>
      <c r="J14" s="269">
        <f>+'Cronogr pag'!C20</f>
        <v>3385.2049038543628</v>
      </c>
      <c r="K14" s="269">
        <f>+'Cronogr pag'!C21</f>
        <v>3382.340653329903</v>
      </c>
      <c r="L14" s="269">
        <f>+'Cronogr pag'!C22</f>
        <v>3378.9035527005508</v>
      </c>
      <c r="M14" s="269">
        <f>+'Cronogr pag'!C23</f>
        <v>3374.7790319453288</v>
      </c>
      <c r="N14" s="269">
        <f>+'Cronogr pag'!C24</f>
        <v>3369.8296070390616</v>
      </c>
      <c r="O14" s="269">
        <f>+'Cronogr pag'!C25</f>
        <v>3363.8902971515413</v>
      </c>
      <c r="P14" s="269">
        <f>+'Cronogr pag'!C26</f>
        <v>3356.7631252865172</v>
      </c>
      <c r="Q14" s="269">
        <f>+'Cronogr pag'!C27</f>
        <v>3348.2105190484881</v>
      </c>
      <c r="R14" s="269">
        <f>+'Cronogr pag'!C28</f>
        <v>3337.9473915628532</v>
      </c>
      <c r="S14" s="269">
        <f>+'Cronogr pag'!C29</f>
        <v>3325.631638580091</v>
      </c>
      <c r="T14" s="269">
        <f>+'Cronogr pag'!C30</f>
        <v>3310.8527350007762</v>
      </c>
      <c r="U14" s="269">
        <f>+'Cronogr pag'!C31</f>
        <v>3293.1180507055988</v>
      </c>
      <c r="V14" s="269">
        <f>+'Cronogr pag'!C32</f>
        <v>3271.8364295513857</v>
      </c>
      <c r="W14" s="269">
        <f>+'Cronogr pag'!C33</f>
        <v>3246.2984841663306</v>
      </c>
      <c r="X14" s="269">
        <f>+'Cronogr pag'!C34</f>
        <v>3215.6529497042643</v>
      </c>
      <c r="Y14" s="269">
        <f>+'Cronogr pag'!C35</f>
        <v>3178.8783083497847</v>
      </c>
      <c r="Z14" s="269">
        <f>+'Cronogr pag'!C36</f>
        <v>3134.7487387244091</v>
      </c>
      <c r="AA14" s="269">
        <f>+'Cronogr pag'!C37</f>
        <v>3081.7932551739582</v>
      </c>
      <c r="AB14" s="269">
        <f>+'Cronogr pag'!C38</f>
        <v>3018.2466749134173</v>
      </c>
      <c r="AC14" s="269">
        <f>+'Cronogr pag'!C39</f>
        <v>2941.990778600768</v>
      </c>
      <c r="AD14" s="269">
        <f>+'Cronogr pag'!C40</f>
        <v>2850.4837030255894</v>
      </c>
      <c r="AE14" s="269">
        <f>+'Cronogr pag'!C41</f>
        <v>2740.6752123353745</v>
      </c>
      <c r="AF14" s="269">
        <f>+'Cronogr pag'!C42</f>
        <v>2608.9050235071172</v>
      </c>
      <c r="AG14" s="269">
        <f>+'Cronogr pag'!C43</f>
        <v>2450.7807969132077</v>
      </c>
      <c r="AH14" s="269">
        <f>+'Cronogr pag'!C44</f>
        <v>2261.0317250005169</v>
      </c>
      <c r="AI14" s="269">
        <f>+'Cronogr pag'!C45</f>
        <v>2033.3328387052879</v>
      </c>
      <c r="AJ14" s="269">
        <f>+'Cronogr pag'!C46</f>
        <v>1760.0941751510131</v>
      </c>
      <c r="AK14" s="269">
        <f>+'Cronogr pag'!C47</f>
        <v>1432.2077788858833</v>
      </c>
      <c r="AL14" s="269">
        <f>+'Cronogr pag'!C48</f>
        <v>1038.7441033677273</v>
      </c>
      <c r="AM14" s="269">
        <f>+'Cronogr pag'!C49</f>
        <v>566.58769274594022</v>
      </c>
      <c r="AN14" s="282">
        <f>SUM(C14:AM14)</f>
        <v>102337.09510531517</v>
      </c>
      <c r="AP14" s="178"/>
    </row>
    <row r="15" spans="2:42" ht="15.75" customHeight="1" x14ac:dyDescent="0.35">
      <c r="B15" s="31" t="s">
        <v>286</v>
      </c>
      <c r="C15" s="269"/>
      <c r="D15" s="269">
        <f>+'Cronogr pag'!K14</f>
        <v>8.8872499999999999</v>
      </c>
      <c r="E15" s="269">
        <f>+'Cronogr pag'!K15</f>
        <v>9.8691436249999995</v>
      </c>
      <c r="F15" s="269">
        <f>+'Cronogr pag'!K16</f>
        <v>11.047906921812499</v>
      </c>
      <c r="G15" s="269">
        <f>+'Cronogr pag'!K17</f>
        <v>12.463012259635907</v>
      </c>
      <c r="H15" s="269">
        <f>+'Cronogr pag'!K18</f>
        <v>12.463012259635907</v>
      </c>
      <c r="I15" s="269">
        <f>+'Cronogr pag'!K19</f>
        <v>12.463012259635907</v>
      </c>
      <c r="J15" s="269">
        <f>+'Cronogr pag'!K20</f>
        <v>12.463012259635907</v>
      </c>
      <c r="K15" s="269">
        <f>+'Cronogr pag'!K21</f>
        <v>12.455851633324757</v>
      </c>
      <c r="L15" s="269">
        <f>+'Cronogr pag'!K22</f>
        <v>12.447258881751377</v>
      </c>
      <c r="M15" s="269">
        <f>+'Cronogr pag'!K23</f>
        <v>12.436947579863322</v>
      </c>
      <c r="N15" s="269">
        <f>+'Cronogr pag'!K24</f>
        <v>12.424574017597653</v>
      </c>
      <c r="O15" s="269">
        <f>+'Cronogr pag'!K25</f>
        <v>12.409725742878853</v>
      </c>
      <c r="P15" s="269">
        <f>+'Cronogr pag'!K26</f>
        <v>12.391907813216292</v>
      </c>
      <c r="Q15" s="269">
        <f>+'Cronogr pag'!K27</f>
        <v>12.37052629762122</v>
      </c>
      <c r="R15" s="269">
        <f>+'Cronogr pag'!K28</f>
        <v>12.344868478907133</v>
      </c>
      <c r="S15" s="269">
        <f>+'Cronogr pag'!K29</f>
        <v>12.314079096450227</v>
      </c>
      <c r="T15" s="269">
        <f>+'Cronogr pag'!K30</f>
        <v>12.27713183750194</v>
      </c>
      <c r="U15" s="269">
        <f>+'Cronogr pag'!K31</f>
        <v>12.232795126763996</v>
      </c>
      <c r="V15" s="269">
        <f>+'Cronogr pag'!K32</f>
        <v>12.179591073878465</v>
      </c>
      <c r="W15" s="269">
        <f>+'Cronogr pag'!K33</f>
        <v>12.115746210415827</v>
      </c>
      <c r="X15" s="269">
        <f>+'Cronogr pag'!K34</f>
        <v>12.03913237426066</v>
      </c>
      <c r="Y15" s="269">
        <f>+'Cronogr pag'!K35</f>
        <v>11.947195770874462</v>
      </c>
      <c r="Z15" s="269">
        <f>+'Cronogr pag'!K36</f>
        <v>11.836871846811022</v>
      </c>
      <c r="AA15" s="269">
        <f>+'Cronogr pag'!K37</f>
        <v>11.704483137934895</v>
      </c>
      <c r="AB15" s="269">
        <f>+'Cronogr pag'!K38</f>
        <v>11.545616687283543</v>
      </c>
      <c r="AC15" s="269">
        <f>+'Cronogr pag'!K39</f>
        <v>11.354976946501921</v>
      </c>
      <c r="AD15" s="269">
        <f>+'Cronogr pag'!K40</f>
        <v>11.126209257563973</v>
      </c>
      <c r="AE15" s="269">
        <f>+'Cronogr pag'!K41</f>
        <v>10.851688030838435</v>
      </c>
      <c r="AF15" s="269">
        <f>+'Cronogr pag'!K42</f>
        <v>10.522262558767792</v>
      </c>
      <c r="AG15" s="269">
        <f>+'Cronogr pag'!K43</f>
        <v>10.126951992283018</v>
      </c>
      <c r="AH15" s="269">
        <f>+'Cronogr pag'!K44</f>
        <v>9.6525793125012918</v>
      </c>
      <c r="AI15" s="269">
        <f>+'Cronogr pag'!K45</f>
        <v>9.0833320967632201</v>
      </c>
      <c r="AJ15" s="269">
        <f>+'Cronogr pag'!K46</f>
        <v>8.4002354378775337</v>
      </c>
      <c r="AK15" s="269">
        <f>+'Cronogr pag'!K47</f>
        <v>7.5805194472147077</v>
      </c>
      <c r="AL15" s="269">
        <f>+'Cronogr pag'!K48</f>
        <v>6.5968602584193183</v>
      </c>
      <c r="AM15" s="269">
        <f>+'Cronogr pag'!K49</f>
        <v>5.4164692318648502</v>
      </c>
      <c r="AN15" s="282">
        <f>SUM(C15:AM15)</f>
        <v>399.84273776328791</v>
      </c>
      <c r="AP15" s="178"/>
    </row>
    <row r="16" spans="2:42" ht="15.75" customHeight="1" thickBot="1" x14ac:dyDescent="0.4">
      <c r="B16" s="31" t="s">
        <v>287</v>
      </c>
      <c r="C16" s="267"/>
      <c r="D16" s="267">
        <f>-1*30%*(D14+D15)</f>
        <v>-589.13617499999998</v>
      </c>
      <c r="E16" s="267">
        <f t="shared" ref="E16:AM16" si="3">-1*30%*(E14+E15)</f>
        <v>-707.25797808750008</v>
      </c>
      <c r="F16" s="267">
        <f t="shared" si="3"/>
        <v>-849.06320269404387</v>
      </c>
      <c r="G16" s="267">
        <f t="shared" si="3"/>
        <v>-1019.3003748341996</v>
      </c>
      <c r="H16" s="267">
        <f t="shared" si="3"/>
        <v>-1019.3003748341996</v>
      </c>
      <c r="I16" s="267">
        <f t="shared" si="3"/>
        <v>-1019.3003748341996</v>
      </c>
      <c r="J16" s="267">
        <f t="shared" si="3"/>
        <v>-1019.3003748341996</v>
      </c>
      <c r="K16" s="267">
        <f t="shared" si="3"/>
        <v>-1018.4389514889683</v>
      </c>
      <c r="L16" s="267">
        <f t="shared" si="3"/>
        <v>-1017.4052434746906</v>
      </c>
      <c r="M16" s="267">
        <f t="shared" si="3"/>
        <v>-1016.1647938575577</v>
      </c>
      <c r="N16" s="267">
        <f t="shared" si="3"/>
        <v>-1014.6762543169976</v>
      </c>
      <c r="O16" s="267">
        <f t="shared" si="3"/>
        <v>-1012.8900068683261</v>
      </c>
      <c r="P16" s="267">
        <f t="shared" si="3"/>
        <v>-1010.74650992992</v>
      </c>
      <c r="Q16" s="267">
        <f t="shared" si="3"/>
        <v>-1008.1743136038328</v>
      </c>
      <c r="R16" s="267">
        <f t="shared" si="3"/>
        <v>-1005.0876780125282</v>
      </c>
      <c r="S16" s="267">
        <f t="shared" si="3"/>
        <v>-1001.3837153029624</v>
      </c>
      <c r="T16" s="267">
        <f t="shared" si="3"/>
        <v>-996.93896005148349</v>
      </c>
      <c r="U16" s="267">
        <f t="shared" si="3"/>
        <v>-991.60525374970871</v>
      </c>
      <c r="V16" s="267">
        <f t="shared" si="3"/>
        <v>-985.20480618757915</v>
      </c>
      <c r="W16" s="267">
        <f t="shared" si="3"/>
        <v>-977.52426911302382</v>
      </c>
      <c r="X16" s="267">
        <f t="shared" si="3"/>
        <v>-968.30762462355744</v>
      </c>
      <c r="Y16" s="267">
        <f t="shared" si="3"/>
        <v>-957.24765123619761</v>
      </c>
      <c r="Z16" s="267">
        <f t="shared" si="3"/>
        <v>-943.97568317136597</v>
      </c>
      <c r="AA16" s="267">
        <f t="shared" si="3"/>
        <v>-928.04932149356785</v>
      </c>
      <c r="AB16" s="267">
        <f t="shared" si="3"/>
        <v>-908.93768748021023</v>
      </c>
      <c r="AC16" s="267">
        <f t="shared" si="3"/>
        <v>-886.00372666418104</v>
      </c>
      <c r="AD16" s="267">
        <f t="shared" si="3"/>
        <v>-858.48297368494593</v>
      </c>
      <c r="AE16" s="267">
        <f t="shared" si="3"/>
        <v>-825.4580701098638</v>
      </c>
      <c r="AF16" s="267">
        <f t="shared" si="3"/>
        <v>-785.82818581976539</v>
      </c>
      <c r="AG16" s="267">
        <f t="shared" si="3"/>
        <v>-738.2723246716472</v>
      </c>
      <c r="AH16" s="267">
        <f t="shared" si="3"/>
        <v>-681.20529129390536</v>
      </c>
      <c r="AI16" s="267">
        <f t="shared" si="3"/>
        <v>-612.72485124061529</v>
      </c>
      <c r="AJ16" s="267">
        <f t="shared" si="3"/>
        <v>-530.54832317666717</v>
      </c>
      <c r="AK16" s="267">
        <f t="shared" si="3"/>
        <v>-431.93648949992939</v>
      </c>
      <c r="AL16" s="267">
        <f t="shared" si="3"/>
        <v>-313.60228908784399</v>
      </c>
      <c r="AM16" s="267">
        <f t="shared" si="3"/>
        <v>-171.60124859334152</v>
      </c>
      <c r="AN16" s="283"/>
      <c r="AP16" s="178"/>
    </row>
    <row r="17" spans="2:42" ht="45" customHeight="1" thickBot="1" x14ac:dyDescent="0.4">
      <c r="B17" s="326" t="s">
        <v>288</v>
      </c>
      <c r="C17" s="327">
        <f>C11-C12-C14-C15</f>
        <v>9774.5</v>
      </c>
      <c r="D17" s="327">
        <f>D11-D12-D14-D15-D16</f>
        <v>-1374.6510750000002</v>
      </c>
      <c r="E17" s="327">
        <f>E11-E12-E14-E15-E16</f>
        <v>-1650.2686155375002</v>
      </c>
      <c r="F17" s="327">
        <f t="shared" ref="F17:AM17" si="4">F11-F12-F14-F15-F16</f>
        <v>-1981.147472952769</v>
      </c>
      <c r="G17" s="327">
        <f t="shared" si="4"/>
        <v>-2378.3675412797993</v>
      </c>
      <c r="H17" s="327">
        <f t="shared" si="4"/>
        <v>-2378.3675412797993</v>
      </c>
      <c r="I17" s="327">
        <f t="shared" si="4"/>
        <v>-2378.3675412797993</v>
      </c>
      <c r="J17" s="327">
        <f t="shared" si="4"/>
        <v>-2392.688793902099</v>
      </c>
      <c r="K17" s="327">
        <f t="shared" si="4"/>
        <v>-2393.5430566210189</v>
      </c>
      <c r="L17" s="327">
        <f t="shared" si="4"/>
        <v>-2394.5681718837232</v>
      </c>
      <c r="M17" s="327">
        <f t="shared" si="4"/>
        <v>-2395.7983101989685</v>
      </c>
      <c r="N17" s="327">
        <f t="shared" si="4"/>
        <v>-2397.2744761772624</v>
      </c>
      <c r="O17" s="327">
        <f t="shared" si="4"/>
        <v>-2399.0458753512153</v>
      </c>
      <c r="P17" s="327">
        <f t="shared" si="4"/>
        <v>-2401.1715543599585</v>
      </c>
      <c r="Q17" s="327">
        <f t="shared" si="4"/>
        <v>-2403.7223691704512</v>
      </c>
      <c r="R17" s="327">
        <f t="shared" si="4"/>
        <v>-2406.7833469430416</v>
      </c>
      <c r="S17" s="327">
        <f t="shared" si="4"/>
        <v>-2410.4565202701506</v>
      </c>
      <c r="T17" s="327">
        <f t="shared" si="4"/>
        <v>-2414.8643282626808</v>
      </c>
      <c r="U17" s="327">
        <f t="shared" si="4"/>
        <v>-2420.1536978537179</v>
      </c>
      <c r="V17" s="327">
        <f t="shared" si="4"/>
        <v>-2426.5009413629614</v>
      </c>
      <c r="W17" s="327">
        <f t="shared" si="4"/>
        <v>-2434.1176335740543</v>
      </c>
      <c r="X17" s="327">
        <f t="shared" si="4"/>
        <v>-2443.2576642273657</v>
      </c>
      <c r="Y17" s="327">
        <f t="shared" si="4"/>
        <v>-2454.225701011339</v>
      </c>
      <c r="Z17" s="327">
        <f t="shared" si="4"/>
        <v>-2467.3873451521076</v>
      </c>
      <c r="AA17" s="327">
        <f t="shared" si="4"/>
        <v>-2483.1813181210296</v>
      </c>
      <c r="AB17" s="327">
        <f t="shared" si="4"/>
        <v>-2502.134085683736</v>
      </c>
      <c r="AC17" s="327">
        <f t="shared" si="4"/>
        <v>-2524.8774067589834</v>
      </c>
      <c r="AD17" s="327">
        <f t="shared" si="4"/>
        <v>-2552.1693920492803</v>
      </c>
      <c r="AE17" s="327">
        <f t="shared" si="4"/>
        <v>-2584.919774397637</v>
      </c>
      <c r="AF17" s="327">
        <f t="shared" si="4"/>
        <v>-2624.2202332156648</v>
      </c>
      <c r="AG17" s="327">
        <f t="shared" si="4"/>
        <v>-2671.3807837972981</v>
      </c>
      <c r="AH17" s="327">
        <f t="shared" si="4"/>
        <v>-2727.9734444952583</v>
      </c>
      <c r="AI17" s="327">
        <f t="shared" si="4"/>
        <v>-2795.8846373328101</v>
      </c>
      <c r="AJ17" s="327">
        <f t="shared" si="4"/>
        <v>-2877.378068737873</v>
      </c>
      <c r="AK17" s="327">
        <f t="shared" si="4"/>
        <v>-2975.1701864239476</v>
      </c>
      <c r="AL17" s="327">
        <f t="shared" si="4"/>
        <v>-3092.5207276472379</v>
      </c>
      <c r="AM17" s="327">
        <f t="shared" si="4"/>
        <v>-3233.3413771151859</v>
      </c>
      <c r="AN17" s="328">
        <f>SUM(C17:AM17)</f>
        <v>-79067.381009427714</v>
      </c>
      <c r="AP17" s="178"/>
    </row>
    <row r="18" spans="2:42" x14ac:dyDescent="0.35">
      <c r="B18" s="2" t="s">
        <v>212</v>
      </c>
      <c r="AP18" s="178"/>
    </row>
    <row r="19" spans="2:42" x14ac:dyDescent="0.35">
      <c r="AP19" s="178"/>
    </row>
    <row r="20" spans="2:42" x14ac:dyDescent="0.35">
      <c r="AP20" s="178"/>
    </row>
    <row r="21" spans="2:42" ht="13.5" x14ac:dyDescent="0.35">
      <c r="C21" s="52"/>
      <c r="H21" s="290"/>
      <c r="I21" s="679"/>
      <c r="AP21" s="178"/>
    </row>
    <row r="22" spans="2:42" ht="15" x14ac:dyDescent="0.4">
      <c r="B22" s="53"/>
      <c r="C22" s="52"/>
      <c r="F22" s="54"/>
      <c r="H22" s="291"/>
      <c r="I22" s="679"/>
      <c r="AP22" s="178"/>
    </row>
    <row r="23" spans="2:42" ht="15" x14ac:dyDescent="0.4">
      <c r="B23" s="53"/>
      <c r="C23" s="52"/>
      <c r="F23" s="51"/>
      <c r="H23" s="292"/>
      <c r="I23" s="679"/>
      <c r="AP23" s="178"/>
    </row>
    <row r="24" spans="2:42" ht="15" x14ac:dyDescent="0.4">
      <c r="B24" s="53"/>
      <c r="C24" s="52"/>
      <c r="F24" s="51"/>
      <c r="H24" s="292"/>
      <c r="I24" s="50"/>
      <c r="AP24" s="178"/>
    </row>
    <row r="25" spans="2:42" x14ac:dyDescent="0.35">
      <c r="AP25" s="178"/>
    </row>
    <row r="26" spans="2:42" x14ac:dyDescent="0.35">
      <c r="D26" s="49"/>
      <c r="E26" s="49"/>
      <c r="F26" s="49"/>
      <c r="G26" s="49"/>
      <c r="H26" s="49"/>
      <c r="I26" s="49"/>
      <c r="J26" s="49"/>
      <c r="K26" s="49"/>
      <c r="L26" s="49"/>
      <c r="M26" s="49"/>
      <c r="N26" s="49"/>
      <c r="O26" s="49"/>
      <c r="P26" s="49"/>
      <c r="Q26" s="49"/>
      <c r="R26" s="49"/>
      <c r="S26" s="49"/>
      <c r="T26" s="49"/>
      <c r="U26" s="49"/>
      <c r="V26" s="49"/>
      <c r="W26" s="49"/>
      <c r="X26" s="49"/>
      <c r="Y26" s="49"/>
      <c r="Z26" s="49"/>
      <c r="AA26" s="49"/>
      <c r="AB26" s="49"/>
      <c r="AC26" s="49"/>
      <c r="AD26" s="49"/>
      <c r="AE26" s="49"/>
      <c r="AF26" s="49"/>
      <c r="AG26" s="49"/>
      <c r="AH26" s="49"/>
      <c r="AI26" s="49"/>
      <c r="AJ26" s="49"/>
      <c r="AK26" s="49"/>
      <c r="AL26" s="49"/>
      <c r="AM26" s="49"/>
      <c r="AP26" s="178"/>
    </row>
    <row r="27" spans="2:42" x14ac:dyDescent="0.35">
      <c r="C27" s="229"/>
      <c r="D27" s="229"/>
      <c r="E27" s="229"/>
      <c r="F27" s="229"/>
      <c r="G27" s="229"/>
      <c r="H27" s="229"/>
      <c r="I27" s="229"/>
      <c r="J27" s="229"/>
      <c r="K27" s="229"/>
      <c r="L27" s="229"/>
      <c r="M27" s="229"/>
      <c r="N27" s="229"/>
      <c r="O27" s="229"/>
      <c r="P27" s="229"/>
      <c r="Q27" s="229"/>
      <c r="R27" s="229"/>
      <c r="S27" s="229"/>
      <c r="T27" s="229"/>
      <c r="U27" s="229"/>
      <c r="V27" s="229"/>
      <c r="W27" s="229"/>
      <c r="X27" s="229"/>
      <c r="Y27" s="229"/>
      <c r="Z27" s="229"/>
      <c r="AA27" s="229"/>
      <c r="AB27" s="229"/>
      <c r="AC27" s="229"/>
      <c r="AD27" s="229"/>
      <c r="AE27" s="229"/>
      <c r="AF27" s="229"/>
      <c r="AG27" s="229"/>
      <c r="AH27" s="229"/>
      <c r="AI27" s="229"/>
      <c r="AJ27" s="229"/>
      <c r="AK27" s="229"/>
      <c r="AL27" s="229"/>
      <c r="AM27" s="229"/>
      <c r="AN27" s="28"/>
      <c r="AP27" s="178"/>
    </row>
    <row r="28" spans="2:42" x14ac:dyDescent="0.35">
      <c r="C28" s="229"/>
      <c r="D28" s="230"/>
      <c r="E28" s="230"/>
      <c r="F28" s="230"/>
      <c r="G28" s="230"/>
      <c r="H28" s="230"/>
      <c r="I28" s="230"/>
      <c r="J28" s="230"/>
      <c r="K28" s="230"/>
      <c r="L28" s="230"/>
      <c r="M28" s="230"/>
      <c r="N28" s="230"/>
      <c r="O28" s="230"/>
      <c r="P28" s="230"/>
      <c r="Q28" s="230"/>
      <c r="R28" s="230"/>
      <c r="S28" s="230"/>
      <c r="T28" s="230"/>
      <c r="U28" s="230"/>
      <c r="V28" s="230"/>
      <c r="W28" s="230"/>
      <c r="X28" s="230"/>
      <c r="Y28" s="230"/>
      <c r="Z28" s="230"/>
      <c r="AA28" s="230"/>
      <c r="AB28" s="230"/>
      <c r="AC28" s="230"/>
      <c r="AD28" s="230"/>
      <c r="AE28" s="230"/>
      <c r="AF28" s="230"/>
      <c r="AG28" s="230"/>
      <c r="AH28" s="230"/>
      <c r="AI28" s="230"/>
      <c r="AJ28" s="230"/>
      <c r="AK28" s="230"/>
      <c r="AL28" s="230"/>
      <c r="AM28" s="230"/>
      <c r="AN28" s="293"/>
      <c r="AP28" s="178"/>
    </row>
    <row r="29" spans="2:42" x14ac:dyDescent="0.35">
      <c r="B29" s="294"/>
      <c r="C29" s="231"/>
      <c r="D29" s="231"/>
      <c r="E29" s="231"/>
      <c r="F29" s="231"/>
      <c r="G29" s="231"/>
      <c r="H29" s="231"/>
      <c r="I29" s="231"/>
      <c r="J29" s="231"/>
      <c r="K29" s="231"/>
      <c r="L29" s="231"/>
      <c r="M29" s="231"/>
      <c r="N29" s="231"/>
      <c r="O29" s="231"/>
      <c r="P29" s="231"/>
      <c r="Q29" s="231"/>
      <c r="R29" s="231"/>
      <c r="S29" s="231"/>
      <c r="T29" s="231"/>
      <c r="U29" s="231"/>
      <c r="V29" s="231"/>
      <c r="W29" s="231"/>
      <c r="X29" s="231"/>
      <c r="Y29" s="231"/>
      <c r="Z29" s="231"/>
      <c r="AA29" s="231"/>
      <c r="AB29" s="231"/>
      <c r="AC29" s="231"/>
      <c r="AD29" s="231"/>
      <c r="AE29" s="231"/>
      <c r="AF29" s="231"/>
      <c r="AG29" s="231"/>
      <c r="AH29" s="231"/>
      <c r="AI29" s="231"/>
      <c r="AJ29" s="231"/>
      <c r="AK29" s="231"/>
      <c r="AL29" s="231"/>
      <c r="AM29" s="231"/>
      <c r="AN29" s="295"/>
      <c r="AP29" s="178"/>
    </row>
    <row r="30" spans="2:42" x14ac:dyDescent="0.35">
      <c r="C30" s="229"/>
      <c r="D30" s="229"/>
      <c r="E30" s="229"/>
      <c r="F30" s="229"/>
      <c r="G30" s="229"/>
      <c r="H30" s="229"/>
      <c r="I30" s="229"/>
      <c r="J30" s="229"/>
      <c r="K30" s="229"/>
      <c r="L30" s="229"/>
      <c r="M30" s="229"/>
      <c r="N30" s="229"/>
      <c r="O30" s="229"/>
      <c r="P30" s="229"/>
      <c r="Q30" s="229"/>
      <c r="R30" s="229"/>
      <c r="S30" s="229"/>
      <c r="T30" s="229"/>
      <c r="U30" s="229"/>
      <c r="V30" s="229"/>
      <c r="W30" s="229"/>
      <c r="X30" s="229"/>
      <c r="Y30" s="229"/>
      <c r="Z30" s="229"/>
      <c r="AA30" s="229"/>
      <c r="AB30" s="229"/>
      <c r="AC30" s="229"/>
      <c r="AD30" s="229"/>
      <c r="AE30" s="229"/>
      <c r="AF30" s="229"/>
      <c r="AG30" s="229"/>
      <c r="AH30" s="229"/>
      <c r="AI30" s="229"/>
      <c r="AJ30" s="229"/>
      <c r="AK30" s="229"/>
      <c r="AL30" s="229"/>
      <c r="AM30" s="229"/>
      <c r="AN30" s="296"/>
      <c r="AP30" s="178"/>
    </row>
    <row r="31" spans="2:42" x14ac:dyDescent="0.35">
      <c r="B31" s="297"/>
      <c r="C31" s="264"/>
      <c r="D31" s="264"/>
      <c r="E31" s="264"/>
      <c r="F31" s="264"/>
      <c r="G31" s="264"/>
      <c r="H31" s="264"/>
      <c r="I31" s="264"/>
      <c r="J31" s="264"/>
      <c r="K31" s="264"/>
      <c r="L31" s="264"/>
      <c r="M31" s="264"/>
      <c r="N31" s="264"/>
      <c r="O31" s="264"/>
      <c r="P31" s="264"/>
      <c r="Q31" s="264"/>
      <c r="R31" s="264"/>
      <c r="S31" s="264"/>
      <c r="T31" s="264"/>
      <c r="U31" s="264"/>
      <c r="V31" s="264"/>
      <c r="W31" s="264"/>
      <c r="X31" s="264"/>
      <c r="Y31" s="264"/>
      <c r="Z31" s="264"/>
      <c r="AA31" s="264"/>
      <c r="AB31" s="264"/>
      <c r="AC31" s="264"/>
      <c r="AD31" s="264"/>
      <c r="AE31" s="264"/>
      <c r="AF31" s="264"/>
      <c r="AG31" s="264"/>
      <c r="AH31" s="264"/>
      <c r="AI31" s="264"/>
      <c r="AJ31" s="264"/>
      <c r="AK31" s="264"/>
      <c r="AL31" s="264"/>
      <c r="AM31" s="264"/>
      <c r="AP31" s="178"/>
    </row>
    <row r="32" spans="2:42" x14ac:dyDescent="0.35">
      <c r="AP32" s="178"/>
    </row>
    <row r="33" spans="42:42" x14ac:dyDescent="0.35">
      <c r="AP33" s="178"/>
    </row>
    <row r="34" spans="42:42" x14ac:dyDescent="0.35">
      <c r="AP34" s="178"/>
    </row>
    <row r="35" spans="42:42" x14ac:dyDescent="0.35">
      <c r="AP35" s="178"/>
    </row>
    <row r="36" spans="42:42" x14ac:dyDescent="0.35">
      <c r="AP36" s="178"/>
    </row>
    <row r="37" spans="42:42" x14ac:dyDescent="0.35">
      <c r="AP37" s="178"/>
    </row>
    <row r="38" spans="42:42" x14ac:dyDescent="0.35">
      <c r="AP38" s="178"/>
    </row>
    <row r="39" spans="42:42" x14ac:dyDescent="0.35">
      <c r="AP39" s="178"/>
    </row>
    <row r="40" spans="42:42" x14ac:dyDescent="0.35">
      <c r="AP40" s="178"/>
    </row>
    <row r="41" spans="42:42" x14ac:dyDescent="0.35">
      <c r="AP41" s="178"/>
    </row>
    <row r="42" spans="42:42" x14ac:dyDescent="0.35">
      <c r="AP42" s="178"/>
    </row>
    <row r="43" spans="42:42" x14ac:dyDescent="0.35">
      <c r="AP43" s="178"/>
    </row>
    <row r="44" spans="42:42" x14ac:dyDescent="0.35">
      <c r="AP44" s="178"/>
    </row>
    <row r="45" spans="42:42" x14ac:dyDescent="0.35">
      <c r="AP45" s="178"/>
    </row>
    <row r="46" spans="42:42" x14ac:dyDescent="0.35">
      <c r="AP46" s="178"/>
    </row>
    <row r="47" spans="42:42" x14ac:dyDescent="0.35">
      <c r="AP47" s="178"/>
    </row>
    <row r="48" spans="42:42" x14ac:dyDescent="0.35">
      <c r="AP48" s="178"/>
    </row>
    <row r="49" spans="42:42" x14ac:dyDescent="0.35">
      <c r="AP49" s="178"/>
    </row>
    <row r="50" spans="42:42" x14ac:dyDescent="0.35">
      <c r="AP50" s="178"/>
    </row>
    <row r="51" spans="42:42" x14ac:dyDescent="0.35">
      <c r="AP51" s="178"/>
    </row>
    <row r="52" spans="42:42" x14ac:dyDescent="0.35">
      <c r="AP52" s="178"/>
    </row>
    <row r="53" spans="42:42" x14ac:dyDescent="0.35">
      <c r="AP53" s="178"/>
    </row>
    <row r="54" spans="42:42" x14ac:dyDescent="0.35">
      <c r="AP54" s="178"/>
    </row>
    <row r="55" spans="42:42" x14ac:dyDescent="0.35">
      <c r="AP55" s="178"/>
    </row>
    <row r="56" spans="42:42" x14ac:dyDescent="0.35">
      <c r="AP56" s="178"/>
    </row>
    <row r="57" spans="42:42" x14ac:dyDescent="0.35">
      <c r="AP57" s="178"/>
    </row>
    <row r="58" spans="42:42" x14ac:dyDescent="0.35">
      <c r="AP58" s="178"/>
    </row>
    <row r="59" spans="42:42" x14ac:dyDescent="0.35">
      <c r="AP59" s="178"/>
    </row>
    <row r="60" spans="42:42" x14ac:dyDescent="0.35">
      <c r="AP60" s="178"/>
    </row>
    <row r="61" spans="42:42" x14ac:dyDescent="0.35">
      <c r="AP61" s="178"/>
    </row>
    <row r="62" spans="42:42" x14ac:dyDescent="0.35">
      <c r="AP62" s="178"/>
    </row>
    <row r="63" spans="42:42" x14ac:dyDescent="0.35">
      <c r="AP63" s="178"/>
    </row>
    <row r="64" spans="42:42" x14ac:dyDescent="0.35">
      <c r="AP64" s="178"/>
    </row>
    <row r="65" spans="42:42" x14ac:dyDescent="0.35">
      <c r="AP65" s="178"/>
    </row>
    <row r="66" spans="42:42" x14ac:dyDescent="0.35">
      <c r="AP66" s="178"/>
    </row>
    <row r="67" spans="42:42" x14ac:dyDescent="0.35">
      <c r="AP67" s="178"/>
    </row>
    <row r="68" spans="42:42" x14ac:dyDescent="0.35">
      <c r="AP68" s="178"/>
    </row>
    <row r="69" spans="42:42" x14ac:dyDescent="0.35">
      <c r="AP69" s="178"/>
    </row>
    <row r="70" spans="42:42" x14ac:dyDescent="0.35">
      <c r="AP70" s="178"/>
    </row>
    <row r="71" spans="42:42" x14ac:dyDescent="0.35">
      <c r="AP71" s="178"/>
    </row>
    <row r="72" spans="42:42" x14ac:dyDescent="0.35">
      <c r="AP72" s="178"/>
    </row>
    <row r="73" spans="42:42" x14ac:dyDescent="0.35">
      <c r="AP73" s="178"/>
    </row>
    <row r="74" spans="42:42" x14ac:dyDescent="0.35">
      <c r="AP74" s="178"/>
    </row>
    <row r="75" spans="42:42" x14ac:dyDescent="0.35">
      <c r="AP75" s="178"/>
    </row>
    <row r="76" spans="42:42" x14ac:dyDescent="0.35">
      <c r="AP76" s="178"/>
    </row>
  </sheetData>
  <mergeCells count="2">
    <mergeCell ref="I4:I6"/>
    <mergeCell ref="I21:I23"/>
  </mergeCells>
  <pageMargins left="0.75" right="0.75" top="1" bottom="1" header="0" footer="0"/>
  <pageSetup paperSize="9" orientation="landscape" horizontalDpi="360" verticalDpi="360" r:id="rId1"/>
  <headerFooter alignWithMargins="0">
    <oddFooter>&amp;CPlan Financiero - Plan de Negocio
SYSA Cultura Emprendedora
www.culturaemprendedora.com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0000"/>
    <pageSetUpPr fitToPage="1"/>
  </sheetPr>
  <dimension ref="B4:O58"/>
  <sheetViews>
    <sheetView showGridLines="0" zoomScale="60" zoomScaleNormal="60" workbookViewId="0">
      <selection activeCell="C20" sqref="C20"/>
    </sheetView>
  </sheetViews>
  <sheetFormatPr baseColWidth="10" defaultColWidth="11.46484375" defaultRowHeight="12.75" x14ac:dyDescent="0.35"/>
  <cols>
    <col min="1" max="1" width="2.1328125" style="2" customWidth="1"/>
    <col min="2" max="2" width="33" style="2" customWidth="1"/>
    <col min="3" max="3" width="15" style="2" customWidth="1"/>
    <col min="4" max="4" width="15.86328125" style="2" bestFit="1" customWidth="1"/>
    <col min="5" max="15" width="15.6640625" style="2" customWidth="1"/>
    <col min="16" max="16" width="10.46484375" style="2" customWidth="1"/>
    <col min="17" max="16384" width="11.46484375" style="2"/>
  </cols>
  <sheetData>
    <row r="4" spans="2:15" ht="43.5" customHeight="1" x14ac:dyDescent="0.55000000000000004">
      <c r="B4" s="305" t="s">
        <v>289</v>
      </c>
      <c r="C4" s="306"/>
      <c r="D4" s="306"/>
      <c r="E4" s="306"/>
      <c r="F4" s="306"/>
      <c r="G4" s="306"/>
      <c r="H4" s="6"/>
      <c r="I4" s="6"/>
      <c r="J4" s="6"/>
      <c r="K4" s="6"/>
      <c r="L4" s="6"/>
      <c r="M4" s="6"/>
      <c r="N4" s="6"/>
      <c r="O4" s="6"/>
    </row>
    <row r="5" spans="2:15" ht="13.15" x14ac:dyDescent="0.4">
      <c r="B5" s="8" t="s">
        <v>172</v>
      </c>
      <c r="C5" s="114"/>
      <c r="D5" s="114"/>
      <c r="E5" s="114"/>
      <c r="F5" s="114"/>
      <c r="G5" s="114"/>
      <c r="H5" s="114"/>
      <c r="I5"/>
    </row>
    <row r="6" spans="2:15" ht="13.15" thickBot="1" x14ac:dyDescent="0.4">
      <c r="B6"/>
      <c r="C6"/>
      <c r="D6"/>
      <c r="E6"/>
      <c r="F6"/>
      <c r="G6"/>
      <c r="H6"/>
      <c r="I6"/>
    </row>
    <row r="7" spans="2:15" ht="18.75" customHeight="1" thickBot="1" x14ac:dyDescent="0.4">
      <c r="B7" s="216"/>
      <c r="C7" s="215" t="s">
        <v>188</v>
      </c>
      <c r="D7" s="215" t="s">
        <v>189</v>
      </c>
      <c r="E7" s="215" t="s">
        <v>190</v>
      </c>
      <c r="F7" s="215" t="s">
        <v>191</v>
      </c>
      <c r="G7" s="215" t="s">
        <v>192</v>
      </c>
      <c r="H7" s="215" t="s">
        <v>193</v>
      </c>
      <c r="I7" s="217" t="s">
        <v>290</v>
      </c>
    </row>
    <row r="8" spans="2:15" ht="14.25" x14ac:dyDescent="0.45">
      <c r="B8" s="115"/>
      <c r="C8" s="494"/>
      <c r="D8" s="494"/>
      <c r="E8" s="494"/>
      <c r="F8" s="494"/>
      <c r="G8" s="116" t="s">
        <v>194</v>
      </c>
      <c r="H8" s="116"/>
      <c r="I8" s="117" t="s">
        <v>291</v>
      </c>
    </row>
    <row r="9" spans="2:15" ht="14.25" x14ac:dyDescent="0.45">
      <c r="B9" s="118" t="s">
        <v>195</v>
      </c>
      <c r="C9" s="494"/>
      <c r="D9" s="119"/>
      <c r="E9" s="119"/>
      <c r="F9" s="119"/>
      <c r="G9" s="119"/>
      <c r="H9" s="119"/>
      <c r="I9" s="120" t="s">
        <v>292</v>
      </c>
    </row>
    <row r="10" spans="2:15" ht="14.25" x14ac:dyDescent="0.45">
      <c r="B10" s="121" t="s">
        <v>196</v>
      </c>
      <c r="C10" s="494"/>
      <c r="D10" s="122">
        <f>+FCE!D100</f>
        <v>0</v>
      </c>
      <c r="E10" s="122">
        <f>+FCE!E100</f>
        <v>0</v>
      </c>
      <c r="F10" s="122">
        <f>+FCE!F100</f>
        <v>0</v>
      </c>
      <c r="G10" s="122">
        <f>+FCE!G100</f>
        <v>0</v>
      </c>
      <c r="H10" s="122">
        <f>+FCE!H100</f>
        <v>0</v>
      </c>
      <c r="I10" s="123"/>
    </row>
    <row r="11" spans="2:15" ht="14.25" x14ac:dyDescent="0.45">
      <c r="B11" s="124"/>
      <c r="C11" s="495"/>
      <c r="D11" s="125"/>
      <c r="E11" s="125"/>
      <c r="F11" s="125"/>
      <c r="G11" s="125"/>
      <c r="H11" s="125"/>
      <c r="I11" s="126"/>
    </row>
    <row r="12" spans="2:15" ht="13.15" x14ac:dyDescent="0.4">
      <c r="B12" s="127"/>
      <c r="C12" s="122" t="s">
        <v>194</v>
      </c>
      <c r="D12" s="122"/>
      <c r="E12" s="122"/>
      <c r="F12" s="122"/>
      <c r="G12" s="122"/>
      <c r="H12" s="122"/>
      <c r="I12" s="128"/>
    </row>
    <row r="13" spans="2:15" ht="14.25" x14ac:dyDescent="0.45">
      <c r="B13" s="118" t="s">
        <v>200</v>
      </c>
      <c r="C13" s="122"/>
      <c r="D13" s="122"/>
      <c r="E13" s="122"/>
      <c r="F13" s="122"/>
      <c r="G13" s="122"/>
      <c r="H13" s="122"/>
      <c r="I13" s="128"/>
    </row>
    <row r="14" spans="2:15" ht="13.15" x14ac:dyDescent="0.4">
      <c r="B14" s="121" t="s">
        <v>201</v>
      </c>
      <c r="C14" s="129">
        <f>SUM(C15:C17)</f>
        <v>16290.833333333332</v>
      </c>
      <c r="D14" s="129"/>
      <c r="E14" s="129"/>
      <c r="F14" s="129"/>
      <c r="G14" s="129" t="s">
        <v>194</v>
      </c>
      <c r="H14" s="129"/>
      <c r="I14" s="130">
        <f>+Inversiones!I52</f>
        <v>5000</v>
      </c>
    </row>
    <row r="15" spans="2:15" ht="13.15" x14ac:dyDescent="0.4">
      <c r="B15" s="131" t="s">
        <v>202</v>
      </c>
      <c r="C15" s="132">
        <f>+Inversiones!E10</f>
        <v>7500</v>
      </c>
      <c r="D15" s="132"/>
      <c r="E15" s="132"/>
      <c r="F15" s="132"/>
      <c r="G15" s="132"/>
      <c r="H15" s="132"/>
      <c r="I15" s="133"/>
    </row>
    <row r="16" spans="2:15" ht="13.15" x14ac:dyDescent="0.4">
      <c r="B16" s="131" t="s">
        <v>203</v>
      </c>
      <c r="C16" s="132">
        <f>+Inversiones!E55</f>
        <v>2890.833333333333</v>
      </c>
      <c r="D16" s="132"/>
      <c r="E16" s="132"/>
      <c r="F16" s="132"/>
      <c r="G16" s="132"/>
      <c r="H16" s="132"/>
      <c r="I16" s="133"/>
    </row>
    <row r="17" spans="2:12" ht="13.15" x14ac:dyDescent="0.4">
      <c r="B17" s="131" t="s">
        <v>204</v>
      </c>
      <c r="C17" s="132">
        <f>+Inversiones!E61</f>
        <v>5900</v>
      </c>
      <c r="D17" s="132" t="s">
        <v>194</v>
      </c>
      <c r="E17" s="132"/>
      <c r="F17" s="132"/>
      <c r="G17" s="132"/>
      <c r="H17" s="132"/>
      <c r="I17" s="133"/>
    </row>
    <row r="18" spans="2:12" ht="13.15" x14ac:dyDescent="0.4">
      <c r="B18" s="131"/>
      <c r="C18" s="132"/>
      <c r="D18" s="132"/>
      <c r="E18" s="132"/>
      <c r="F18" s="132"/>
      <c r="G18" s="132"/>
      <c r="H18" s="132"/>
      <c r="I18" s="133"/>
    </row>
    <row r="19" spans="2:12" ht="13.15" x14ac:dyDescent="0.4">
      <c r="B19" s="131" t="s">
        <v>293</v>
      </c>
      <c r="C19" s="132" t="s">
        <v>194</v>
      </c>
      <c r="D19" s="132">
        <v>0</v>
      </c>
      <c r="E19" s="132">
        <v>0</v>
      </c>
      <c r="F19" s="132">
        <v>0</v>
      </c>
      <c r="G19" s="132">
        <v>0</v>
      </c>
      <c r="H19" s="132">
        <f>+C16*-1</f>
        <v>-2890.833333333333</v>
      </c>
      <c r="I19" s="133"/>
    </row>
    <row r="20" spans="2:12" ht="13.15" x14ac:dyDescent="0.4">
      <c r="B20" s="131"/>
      <c r="C20" s="132"/>
      <c r="D20" s="132"/>
      <c r="E20" s="132"/>
      <c r="F20" s="132"/>
      <c r="G20" s="132"/>
      <c r="H20" s="132"/>
      <c r="I20" s="133"/>
    </row>
    <row r="21" spans="2:12" ht="13.15" x14ac:dyDescent="0.4">
      <c r="B21" s="121" t="s">
        <v>205</v>
      </c>
      <c r="C21" s="122"/>
      <c r="D21" s="129">
        <f>SUM(D23:D24)</f>
        <v>33600</v>
      </c>
      <c r="E21" s="129">
        <f>SUM(E23:E24)</f>
        <v>33600</v>
      </c>
      <c r="F21" s="129">
        <f>SUM(F23:F24)</f>
        <v>33600</v>
      </c>
      <c r="G21" s="129">
        <f>SUM(G23:G24)</f>
        <v>33600</v>
      </c>
      <c r="H21" s="129">
        <f>SUM(H23:H24)</f>
        <v>33600</v>
      </c>
      <c r="I21" s="128"/>
    </row>
    <row r="22" spans="2:12" ht="13.15" x14ac:dyDescent="0.4">
      <c r="B22" s="121"/>
      <c r="C22" s="122"/>
      <c r="D22" s="122"/>
      <c r="E22" s="122"/>
      <c r="F22" s="122"/>
      <c r="G22" s="122"/>
      <c r="H22" s="122"/>
      <c r="I22" s="128"/>
    </row>
    <row r="23" spans="2:12" ht="13.15" x14ac:dyDescent="0.4">
      <c r="B23" s="131" t="s">
        <v>206</v>
      </c>
      <c r="C23" s="132"/>
      <c r="D23" s="132">
        <f>+FCE!D114</f>
        <v>33600</v>
      </c>
      <c r="E23" s="132">
        <f>+FCE!E114</f>
        <v>33600</v>
      </c>
      <c r="F23" s="132">
        <f>+FCE!F114</f>
        <v>33600</v>
      </c>
      <c r="G23" s="132">
        <f>+FCE!G114</f>
        <v>33600</v>
      </c>
      <c r="H23" s="132">
        <f>+FCE!H114</f>
        <v>33600</v>
      </c>
      <c r="I23" s="128"/>
    </row>
    <row r="24" spans="2:12" ht="13.15" x14ac:dyDescent="0.4">
      <c r="B24" s="131" t="s">
        <v>207</v>
      </c>
      <c r="C24" s="132"/>
      <c r="D24" s="132">
        <f>+FCE!D115</f>
        <v>0</v>
      </c>
      <c r="E24" s="132">
        <f>+FCE!E115</f>
        <v>0</v>
      </c>
      <c r="F24" s="132">
        <f>+FCE!F115</f>
        <v>0</v>
      </c>
      <c r="G24" s="132">
        <f>+FCE!G115</f>
        <v>0</v>
      </c>
      <c r="H24" s="132">
        <f>+FCE!H115</f>
        <v>0</v>
      </c>
      <c r="I24" s="128"/>
    </row>
    <row r="25" spans="2:12" ht="13.15" x14ac:dyDescent="0.4">
      <c r="B25" s="121"/>
      <c r="C25" s="122"/>
      <c r="D25" s="129"/>
      <c r="E25" s="129"/>
      <c r="F25" s="129"/>
      <c r="G25" s="129"/>
      <c r="H25" s="129"/>
      <c r="I25" s="128"/>
    </row>
    <row r="26" spans="2:12" ht="13.15" x14ac:dyDescent="0.4">
      <c r="B26" s="134" t="s">
        <v>294</v>
      </c>
      <c r="C26" s="135"/>
      <c r="D26" s="135">
        <f>D25+D21</f>
        <v>33600</v>
      </c>
      <c r="E26" s="135">
        <f>E25+E21</f>
        <v>33600</v>
      </c>
      <c r="F26" s="135">
        <f>F25+F21</f>
        <v>33600</v>
      </c>
      <c r="G26" s="135">
        <f>G25+G21</f>
        <v>33600</v>
      </c>
      <c r="H26" s="135">
        <f>H25+H21</f>
        <v>33600</v>
      </c>
      <c r="I26" s="128"/>
    </row>
    <row r="27" spans="2:12" ht="13.15" x14ac:dyDescent="0.4">
      <c r="B27" s="124"/>
      <c r="C27" s="129"/>
      <c r="D27" s="129"/>
      <c r="E27" s="129"/>
      <c r="F27" s="129"/>
      <c r="G27" s="129"/>
      <c r="H27" s="129"/>
      <c r="I27" s="130"/>
    </row>
    <row r="28" spans="2:12" ht="13.15" x14ac:dyDescent="0.4">
      <c r="B28" s="134" t="s">
        <v>210</v>
      </c>
      <c r="C28" s="135"/>
      <c r="D28" s="135">
        <f>+(D10-D21)*30%</f>
        <v>-10080</v>
      </c>
      <c r="E28" s="135">
        <f t="shared" ref="E28:H28" si="0">+(E10-E21)*30%</f>
        <v>-10080</v>
      </c>
      <c r="F28" s="135">
        <f t="shared" si="0"/>
        <v>-10080</v>
      </c>
      <c r="G28" s="135">
        <f t="shared" si="0"/>
        <v>-10080</v>
      </c>
      <c r="H28" s="135">
        <f t="shared" si="0"/>
        <v>-10080</v>
      </c>
      <c r="I28" s="136"/>
    </row>
    <row r="29" spans="2:12" ht="13.15" x14ac:dyDescent="0.4">
      <c r="B29" s="121"/>
      <c r="C29" s="122"/>
      <c r="D29" s="122"/>
      <c r="E29" s="122"/>
      <c r="F29" s="122"/>
      <c r="G29" s="122"/>
      <c r="H29" s="122"/>
      <c r="I29" s="128"/>
    </row>
    <row r="30" spans="2:12" ht="17.25" customHeight="1" x14ac:dyDescent="0.35">
      <c r="B30" s="212" t="s">
        <v>211</v>
      </c>
      <c r="C30" s="213">
        <f>+C14*-1</f>
        <v>-16290.833333333332</v>
      </c>
      <c r="D30" s="213">
        <f>+D10-D21-D28</f>
        <v>-23520</v>
      </c>
      <c r="E30" s="213">
        <f>+E10-E21-E28</f>
        <v>-23520</v>
      </c>
      <c r="F30" s="213">
        <f>+F10-F21-F28</f>
        <v>-23520</v>
      </c>
      <c r="G30" s="213">
        <f>+G10-G21-G28</f>
        <v>-23520</v>
      </c>
      <c r="H30" s="213">
        <f>+H10+H19-H21-H28+I14</f>
        <v>-21410.833333333336</v>
      </c>
      <c r="I30" s="214"/>
    </row>
    <row r="31" spans="2:12" ht="17.25" customHeight="1" x14ac:dyDescent="0.5">
      <c r="B31" s="302" t="s">
        <v>295</v>
      </c>
      <c r="C31" s="303">
        <f>+C32</f>
        <v>9774.5</v>
      </c>
      <c r="D31" s="303">
        <f t="shared" ref="D31:I31" si="1">SUM(D33:D36)</f>
        <v>-26514.088471463954</v>
      </c>
      <c r="E31" s="303">
        <f t="shared" si="1"/>
        <v>-29165.822420308854</v>
      </c>
      <c r="F31" s="303">
        <f t="shared" si="1"/>
        <v>-33161.970117654913</v>
      </c>
      <c r="G31" s="303">
        <f t="shared" si="1"/>
        <v>0</v>
      </c>
      <c r="H31" s="303">
        <f t="shared" si="1"/>
        <v>0</v>
      </c>
      <c r="I31" s="304">
        <f t="shared" si="1"/>
        <v>0</v>
      </c>
      <c r="J31"/>
      <c r="K31"/>
      <c r="L31"/>
    </row>
    <row r="32" spans="2:12" ht="17.25" customHeight="1" x14ac:dyDescent="0.4">
      <c r="B32" s="131" t="s">
        <v>296</v>
      </c>
      <c r="C32" s="122">
        <f>+Inversiones!C91</f>
        <v>9774.5</v>
      </c>
      <c r="D32" s="122"/>
      <c r="E32" s="122"/>
      <c r="F32" s="122"/>
      <c r="G32" s="122"/>
      <c r="H32" s="122"/>
      <c r="I32" s="128"/>
      <c r="J32"/>
      <c r="K32"/>
      <c r="L32"/>
    </row>
    <row r="33" spans="2:12" ht="17.25" customHeight="1" x14ac:dyDescent="0.4">
      <c r="B33" s="131" t="s">
        <v>297</v>
      </c>
      <c r="C33" s="122"/>
      <c r="D33" s="122">
        <f>SUM(PFin!D12:O12)*-1</f>
        <v>-142.20889283922634</v>
      </c>
      <c r="E33" s="122">
        <f>SUM(PFin!P12:AA12)*-1</f>
        <v>-1692.5822518654923</v>
      </c>
      <c r="F33" s="122">
        <f>SUM(PFin!AB12:AM12)*-1</f>
        <v>-15091.233374568106</v>
      </c>
      <c r="G33" s="122"/>
      <c r="H33" s="122"/>
      <c r="I33" s="128"/>
      <c r="J33"/>
      <c r="K33"/>
      <c r="L33"/>
    </row>
    <row r="34" spans="2:12" ht="17.25" customHeight="1" x14ac:dyDescent="0.4">
      <c r="B34" s="131" t="s">
        <v>298</v>
      </c>
      <c r="C34" s="122"/>
      <c r="D34" s="122">
        <f>SUM(PFin!D14:O14)*-1</f>
        <v>-37532.282976308838</v>
      </c>
      <c r="E34" s="122">
        <f>SUM(PFin!P14:AA14)*-1</f>
        <v>-39101.73162585446</v>
      </c>
      <c r="F34" s="122">
        <f>SUM(PFin!AB14:AM14)*-1</f>
        <v>-25703.080503151843</v>
      </c>
      <c r="G34" s="122"/>
      <c r="H34" s="122"/>
      <c r="I34" s="128"/>
      <c r="J34"/>
      <c r="K34" s="261"/>
      <c r="L34" s="261"/>
    </row>
    <row r="35" spans="2:12" ht="17.25" customHeight="1" x14ac:dyDescent="0.4">
      <c r="B35" s="270" t="s">
        <v>299</v>
      </c>
      <c r="C35" s="122"/>
      <c r="D35" s="122">
        <f>SUM('Cronogr pag'!K14:K25)*-1</f>
        <v>-141.83070744077207</v>
      </c>
      <c r="E35" s="122">
        <f>SUM('Cronogr pag'!K26:K37)*-1</f>
        <v>-145.75432906463612</v>
      </c>
      <c r="F35" s="122">
        <f>SUM('Cronogr pag'!K38:K49)*-1</f>
        <v>-112.2577012578796</v>
      </c>
      <c r="G35" s="122"/>
      <c r="H35" s="122"/>
      <c r="I35" s="128"/>
      <c r="J35"/>
      <c r="K35" s="261"/>
      <c r="L35" s="261"/>
    </row>
    <row r="36" spans="2:12" ht="17.25" customHeight="1" x14ac:dyDescent="0.4">
      <c r="B36" s="131" t="s">
        <v>300</v>
      </c>
      <c r="C36" s="122"/>
      <c r="D36" s="122">
        <f>SUM(PFin!D16:O16)*-1</f>
        <v>11302.23410512488</v>
      </c>
      <c r="E36" s="122">
        <f>SUM(PFin!P16:AA16)*-1</f>
        <v>11774.245786475729</v>
      </c>
      <c r="F36" s="122">
        <f>SUM(PFin!AB16:AM16)*-1</f>
        <v>7744.6014613229163</v>
      </c>
      <c r="G36" s="122"/>
      <c r="H36" s="122"/>
      <c r="I36" s="128"/>
      <c r="J36"/>
      <c r="K36"/>
      <c r="L36"/>
    </row>
    <row r="37" spans="2:12" ht="17.25" customHeight="1" x14ac:dyDescent="0.4">
      <c r="B37" s="121"/>
      <c r="C37" s="122"/>
      <c r="D37" s="122"/>
      <c r="E37" s="122"/>
      <c r="F37" s="122"/>
      <c r="G37" s="122"/>
      <c r="H37" s="122"/>
      <c r="I37" s="128"/>
      <c r="J37"/>
      <c r="K37"/>
      <c r="L37"/>
    </row>
    <row r="38" spans="2:12" ht="19.5" customHeight="1" x14ac:dyDescent="0.5">
      <c r="B38" s="307" t="s">
        <v>301</v>
      </c>
      <c r="C38" s="308">
        <f t="shared" ref="C38:I38" si="2">SUM(C29:C31)</f>
        <v>-6516.3333333333321</v>
      </c>
      <c r="D38" s="308">
        <f t="shared" si="2"/>
        <v>-50034.088471463954</v>
      </c>
      <c r="E38" s="308">
        <f t="shared" si="2"/>
        <v>-52685.822420308854</v>
      </c>
      <c r="F38" s="308">
        <f t="shared" si="2"/>
        <v>-56681.970117654913</v>
      </c>
      <c r="G38" s="308">
        <f t="shared" si="2"/>
        <v>-23520</v>
      </c>
      <c r="H38" s="308">
        <f t="shared" si="2"/>
        <v>-21410.833333333336</v>
      </c>
      <c r="I38" s="301">
        <f t="shared" si="2"/>
        <v>0</v>
      </c>
      <c r="J38"/>
      <c r="K38"/>
      <c r="L38"/>
    </row>
    <row r="39" spans="2:12" ht="8.25" customHeight="1" thickBot="1" x14ac:dyDescent="0.45">
      <c r="B39" s="298"/>
      <c r="C39" s="299"/>
      <c r="D39" s="299"/>
      <c r="E39" s="299"/>
      <c r="F39" s="299"/>
      <c r="G39" s="299"/>
      <c r="H39" s="299"/>
      <c r="I39" s="300"/>
      <c r="J39"/>
      <c r="K39"/>
      <c r="L39"/>
    </row>
    <row r="40" spans="2:12" ht="13.15" x14ac:dyDescent="0.4">
      <c r="B40" s="2" t="s">
        <v>212</v>
      </c>
      <c r="C40" s="114"/>
      <c r="D40" s="114"/>
      <c r="E40" s="114"/>
      <c r="F40" s="114"/>
      <c r="G40" s="114"/>
      <c r="H40" s="114"/>
      <c r="I40"/>
      <c r="J40"/>
      <c r="K40"/>
      <c r="L40"/>
    </row>
    <row r="42" spans="2:12" ht="13.15" thickBot="1" x14ac:dyDescent="0.4"/>
    <row r="43" spans="2:12" ht="13.15" x14ac:dyDescent="0.4">
      <c r="B43" s="39"/>
      <c r="C43" s="335"/>
      <c r="D43" s="33"/>
    </row>
    <row r="44" spans="2:12" ht="17.25" customHeight="1" x14ac:dyDescent="0.4">
      <c r="B44" s="38" t="s">
        <v>302</v>
      </c>
      <c r="C44" s="334">
        <f>+Enunciado!E54</f>
        <v>0.31734287999999999</v>
      </c>
      <c r="D44" s="32"/>
    </row>
    <row r="45" spans="2:12" ht="16.5" customHeight="1" x14ac:dyDescent="0.4">
      <c r="B45" s="38" t="s">
        <v>303</v>
      </c>
      <c r="C45" s="143">
        <f>+(1+C44)^(1/12)-1</f>
        <v>2.3233858483940217E-2</v>
      </c>
      <c r="D45" s="32"/>
    </row>
    <row r="46" spans="2:12" ht="17.25" customHeight="1" x14ac:dyDescent="0.4">
      <c r="B46" s="141" t="s">
        <v>304</v>
      </c>
      <c r="C46" s="144">
        <f>C38+NPV(C44,D38,E38,F38,G38,H38)</f>
        <v>-112857.78689904825</v>
      </c>
      <c r="D46" s="32"/>
      <c r="E46" s="178"/>
    </row>
    <row r="47" spans="2:12" ht="17.25" customHeight="1" x14ac:dyDescent="0.4">
      <c r="B47" s="141" t="s">
        <v>305</v>
      </c>
      <c r="C47" s="145" t="e">
        <f>IRR(C38:H38)</f>
        <v>#NUM!</v>
      </c>
      <c r="D47" s="32"/>
    </row>
    <row r="48" spans="2:12" ht="13.15" thickBot="1" x14ac:dyDescent="0.4">
      <c r="B48" s="46"/>
      <c r="C48" s="30"/>
      <c r="D48" s="29"/>
      <c r="F48" s="172"/>
    </row>
    <row r="49" spans="2:7" ht="15" customHeight="1" x14ac:dyDescent="0.35"/>
    <row r="50" spans="2:7" x14ac:dyDescent="0.35">
      <c r="B50" s="2" t="s">
        <v>306</v>
      </c>
    </row>
    <row r="51" spans="2:7" x14ac:dyDescent="0.35">
      <c r="B51" s="2" t="s">
        <v>307</v>
      </c>
      <c r="G51" s="245"/>
    </row>
    <row r="52" spans="2:7" x14ac:dyDescent="0.35">
      <c r="B52" s="2" t="s">
        <v>308</v>
      </c>
    </row>
    <row r="55" spans="2:7" ht="39.4" x14ac:dyDescent="0.35">
      <c r="B55" s="218" t="s">
        <v>309</v>
      </c>
    </row>
    <row r="58" spans="2:7" ht="39.4" x14ac:dyDescent="0.35">
      <c r="B58" s="219" t="s">
        <v>310</v>
      </c>
    </row>
  </sheetData>
  <pageMargins left="0.75" right="0.75" top="1" bottom="1" header="0" footer="0"/>
  <pageSetup paperSize="9" scale="94" orientation="landscape" horizontalDpi="360" verticalDpi="360" r:id="rId1"/>
  <headerFooter alignWithMargins="0">
    <oddFooter>&amp;CFlujo de Caja Económico - Plan de Negocio
SYSA Cultura Emprendedora
www.culturaemprendedora.com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21"/>
  <sheetViews>
    <sheetView zoomScale="98" zoomScaleNormal="98" workbookViewId="0">
      <selection activeCell="B1" sqref="B1"/>
    </sheetView>
  </sheetViews>
  <sheetFormatPr baseColWidth="10" defaultColWidth="9.1328125" defaultRowHeight="12.75" x14ac:dyDescent="0.35"/>
  <cols>
    <col min="1" max="1" width="5" customWidth="1"/>
    <col min="2" max="2" width="49" bestFit="1" customWidth="1"/>
    <col min="3" max="3" width="22.46484375" bestFit="1" customWidth="1"/>
    <col min="4" max="4" width="22.6640625" bestFit="1" customWidth="1"/>
    <col min="5" max="7" width="23" bestFit="1" customWidth="1"/>
    <col min="8" max="8" width="23.33203125" bestFit="1" customWidth="1"/>
    <col min="10" max="10" width="12.33203125" customWidth="1"/>
    <col min="11" max="11" width="10.53125" bestFit="1" customWidth="1"/>
    <col min="12" max="12" width="12.46484375" bestFit="1" customWidth="1"/>
    <col min="14" max="14" width="29.86328125" customWidth="1"/>
    <col min="15" max="15" width="27" customWidth="1"/>
    <col min="16" max="16" width="13" customWidth="1"/>
    <col min="21" max="21" width="13.1328125" customWidth="1"/>
  </cols>
  <sheetData>
    <row r="1" spans="1:22" ht="14.25" x14ac:dyDescent="0.45">
      <c r="A1" s="540"/>
      <c r="B1" s="541" t="s">
        <v>353</v>
      </c>
      <c r="C1" s="542"/>
      <c r="D1" s="542"/>
      <c r="E1" s="542"/>
      <c r="F1" s="542"/>
      <c r="G1" s="542"/>
      <c r="H1" s="542"/>
      <c r="I1" s="542"/>
      <c r="J1" s="542"/>
      <c r="K1" s="542"/>
      <c r="L1" s="542"/>
      <c r="M1" s="542"/>
      <c r="N1" s="542"/>
      <c r="O1" s="542"/>
      <c r="P1" s="542"/>
      <c r="Q1" s="542"/>
      <c r="R1" s="542"/>
      <c r="S1" s="542"/>
      <c r="T1" s="542"/>
      <c r="U1" s="542"/>
      <c r="V1" s="542"/>
    </row>
    <row r="2" spans="1:22" ht="13.15" x14ac:dyDescent="0.4">
      <c r="A2" s="540"/>
      <c r="B2" s="542"/>
      <c r="C2" s="542"/>
      <c r="D2" s="542"/>
      <c r="E2" s="542"/>
      <c r="F2" s="542"/>
      <c r="G2" s="542"/>
      <c r="H2" s="542"/>
      <c r="I2" s="542"/>
      <c r="J2" s="546" t="s">
        <v>340</v>
      </c>
      <c r="K2" s="546" t="s">
        <v>111</v>
      </c>
      <c r="L2" s="542"/>
      <c r="M2" s="542"/>
      <c r="N2" s="542"/>
      <c r="O2" s="542"/>
      <c r="P2" s="542"/>
      <c r="Q2" s="542"/>
      <c r="R2" s="542"/>
      <c r="S2" s="542"/>
      <c r="T2" s="542"/>
      <c r="U2" s="542"/>
      <c r="V2" s="542"/>
    </row>
    <row r="3" spans="1:22" ht="13.15" x14ac:dyDescent="0.4">
      <c r="A3" s="540"/>
      <c r="B3" s="543" t="s">
        <v>334</v>
      </c>
      <c r="C3" s="544"/>
      <c r="D3" s="545"/>
      <c r="E3" s="542"/>
      <c r="F3" s="542"/>
      <c r="G3" s="542"/>
      <c r="H3" s="542"/>
      <c r="I3" s="542"/>
      <c r="J3" s="550" t="s">
        <v>335</v>
      </c>
      <c r="K3" s="551">
        <v>4.3999999999999997E-2</v>
      </c>
      <c r="L3" s="542"/>
      <c r="M3" s="542"/>
      <c r="N3" s="542"/>
      <c r="O3" s="542"/>
      <c r="P3" s="542"/>
      <c r="Q3" s="542"/>
      <c r="R3" s="542"/>
      <c r="S3" s="542"/>
      <c r="T3" s="542"/>
      <c r="U3" s="542"/>
      <c r="V3" s="542"/>
    </row>
    <row r="4" spans="1:22" ht="13.15" x14ac:dyDescent="0.4">
      <c r="A4" s="540"/>
      <c r="B4" s="547" t="s">
        <v>341</v>
      </c>
      <c r="C4" s="548">
        <v>9732749</v>
      </c>
      <c r="D4" s="584" t="s">
        <v>355</v>
      </c>
      <c r="E4" s="542"/>
      <c r="F4" s="542"/>
      <c r="G4" s="542"/>
      <c r="H4" s="542"/>
      <c r="I4" s="542"/>
      <c r="J4" s="550" t="s">
        <v>336</v>
      </c>
      <c r="K4" s="551">
        <v>0.245</v>
      </c>
      <c r="L4" s="542"/>
      <c r="M4" s="542"/>
      <c r="N4" s="542"/>
      <c r="O4" s="542"/>
      <c r="P4" s="542"/>
      <c r="Q4" s="542"/>
      <c r="R4" s="542"/>
      <c r="S4" s="542"/>
      <c r="T4" s="542"/>
      <c r="U4" s="542"/>
      <c r="V4" s="542"/>
    </row>
    <row r="5" spans="1:22" ht="13.15" x14ac:dyDescent="0.4">
      <c r="A5" s="540"/>
      <c r="B5" s="547" t="s">
        <v>352</v>
      </c>
      <c r="C5" s="552">
        <v>3000000</v>
      </c>
      <c r="D5" s="549" t="s">
        <v>356</v>
      </c>
      <c r="E5" s="542"/>
      <c r="F5" s="542"/>
      <c r="G5" s="542"/>
      <c r="H5" s="542"/>
      <c r="I5" s="542"/>
      <c r="J5" s="550" t="s">
        <v>337</v>
      </c>
      <c r="K5" s="551">
        <v>0.42199999999999999</v>
      </c>
      <c r="L5" s="542"/>
      <c r="M5" s="542"/>
      <c r="N5" s="542"/>
      <c r="O5" s="542"/>
      <c r="P5" s="542"/>
      <c r="Q5" s="542"/>
      <c r="R5" s="542"/>
      <c r="S5" s="542"/>
      <c r="T5" s="542"/>
      <c r="U5" s="542"/>
      <c r="V5" s="542"/>
    </row>
    <row r="6" spans="1:22" ht="13.15" x14ac:dyDescent="0.4">
      <c r="A6" s="540"/>
      <c r="B6" s="547" t="s">
        <v>354</v>
      </c>
      <c r="C6" s="585">
        <f>+('[1]5.5 -Mat '!$P$18+'[1]5.5 -Mat '!$P$21)*1000</f>
        <v>1519746</v>
      </c>
      <c r="D6" s="549" t="s">
        <v>355</v>
      </c>
      <c r="E6" s="542"/>
      <c r="F6" s="542"/>
      <c r="G6" s="542"/>
      <c r="H6" s="542"/>
      <c r="I6" s="542"/>
      <c r="J6" s="553" t="s">
        <v>338</v>
      </c>
      <c r="K6" s="554">
        <v>0.23</v>
      </c>
      <c r="L6" s="542"/>
      <c r="M6" s="542"/>
      <c r="N6" s="542"/>
      <c r="O6" s="542"/>
      <c r="P6" s="542"/>
      <c r="Q6" s="542"/>
    </row>
    <row r="7" spans="1:22" ht="13.15" x14ac:dyDescent="0.4">
      <c r="A7" s="540"/>
      <c r="B7" s="542" t="s">
        <v>357</v>
      </c>
      <c r="C7" s="585">
        <f>+C6*(SUM(K3:K5))</f>
        <v>1080539.406</v>
      </c>
      <c r="D7" s="542"/>
      <c r="E7" s="542"/>
      <c r="F7" s="542"/>
      <c r="G7" s="542"/>
      <c r="H7" s="542"/>
      <c r="I7" s="542"/>
      <c r="J7" s="553" t="s">
        <v>339</v>
      </c>
      <c r="K7" s="554">
        <v>5.8999999999999997E-2</v>
      </c>
      <c r="L7" s="542"/>
      <c r="M7" s="542"/>
      <c r="N7" s="542"/>
      <c r="O7" s="542"/>
      <c r="P7" s="542"/>
      <c r="Q7" s="542"/>
    </row>
    <row r="8" spans="1:22" ht="13.15" x14ac:dyDescent="0.4">
      <c r="A8" s="540"/>
      <c r="B8" s="555"/>
      <c r="C8" s="556"/>
      <c r="D8" s="555"/>
      <c r="E8" s="542"/>
      <c r="F8" s="557"/>
      <c r="G8" s="542"/>
      <c r="H8" s="542"/>
      <c r="I8" s="542"/>
      <c r="J8" s="542"/>
      <c r="K8" s="542"/>
      <c r="L8" s="542"/>
      <c r="M8" s="542"/>
      <c r="N8" s="542"/>
      <c r="O8" s="542"/>
      <c r="P8" s="542"/>
      <c r="Q8" s="542"/>
    </row>
    <row r="9" spans="1:22" ht="13.15" x14ac:dyDescent="0.4">
      <c r="A9" s="540"/>
      <c r="B9" s="561"/>
      <c r="C9" s="562"/>
      <c r="D9" s="562"/>
      <c r="E9" s="562"/>
      <c r="F9" s="562"/>
      <c r="G9" s="562"/>
      <c r="H9" s="562"/>
      <c r="I9" s="542"/>
      <c r="J9" s="542"/>
      <c r="K9" s="559"/>
      <c r="L9" s="560"/>
    </row>
    <row r="10" spans="1:22" ht="13.15" x14ac:dyDescent="0.4">
      <c r="A10" s="540"/>
      <c r="B10" s="542"/>
      <c r="C10" s="558"/>
      <c r="D10" s="558"/>
      <c r="E10" s="558"/>
      <c r="F10" s="558"/>
      <c r="G10" s="542"/>
      <c r="H10" s="563"/>
      <c r="I10" s="540"/>
      <c r="J10" s="540"/>
      <c r="K10" s="559"/>
      <c r="L10" s="560"/>
    </row>
    <row r="11" spans="1:22" ht="13.5" thickBot="1" x14ac:dyDescent="0.45">
      <c r="A11" s="540"/>
      <c r="B11" s="540"/>
      <c r="C11" s="564">
        <v>2020</v>
      </c>
      <c r="D11" s="564">
        <v>2021</v>
      </c>
      <c r="E11" s="564">
        <v>2022</v>
      </c>
      <c r="F11" s="564">
        <v>2023</v>
      </c>
      <c r="G11" s="564">
        <v>2024</v>
      </c>
      <c r="H11" s="565" t="s">
        <v>342</v>
      </c>
      <c r="I11" s="566"/>
      <c r="N11" s="602" t="s">
        <v>51</v>
      </c>
      <c r="O11" s="603"/>
      <c r="P11" s="604"/>
    </row>
    <row r="12" spans="1:22" ht="13.15" x14ac:dyDescent="0.4">
      <c r="A12" s="540"/>
      <c r="B12" s="567" t="s">
        <v>343</v>
      </c>
      <c r="C12" s="568">
        <v>0.02</v>
      </c>
      <c r="D12" s="568">
        <v>0.04</v>
      </c>
      <c r="E12" s="568">
        <v>0.06</v>
      </c>
      <c r="F12" s="568">
        <v>7.0000000000000007E-2</v>
      </c>
      <c r="G12" s="568">
        <v>0.08</v>
      </c>
      <c r="H12" s="569" t="s">
        <v>344</v>
      </c>
      <c r="I12" s="570"/>
      <c r="N12" s="22" t="s">
        <v>52</v>
      </c>
      <c r="O12" s="586" t="s">
        <v>364</v>
      </c>
      <c r="P12" s="20" t="s">
        <v>360</v>
      </c>
    </row>
    <row r="13" spans="1:22" ht="13.15" x14ac:dyDescent="0.4">
      <c r="A13" s="540"/>
      <c r="B13" s="567" t="s">
        <v>345</v>
      </c>
      <c r="C13" s="568">
        <v>0.03</v>
      </c>
      <c r="D13" s="568">
        <f>+C13+0.01</f>
        <v>0.04</v>
      </c>
      <c r="E13" s="568">
        <f t="shared" ref="E13:G13" si="0">+D13+0.01</f>
        <v>0.05</v>
      </c>
      <c r="F13" s="568">
        <f t="shared" si="0"/>
        <v>6.0000000000000005E-2</v>
      </c>
      <c r="G13" s="568">
        <f t="shared" si="0"/>
        <v>7.0000000000000007E-2</v>
      </c>
      <c r="H13" s="569" t="s">
        <v>346</v>
      </c>
      <c r="I13" s="570"/>
      <c r="N13" s="571" t="s">
        <v>361</v>
      </c>
      <c r="O13" s="571">
        <v>1.8</v>
      </c>
      <c r="P13" s="587">
        <v>0.2</v>
      </c>
    </row>
    <row r="14" spans="1:22" ht="13.15" x14ac:dyDescent="0.4">
      <c r="A14" s="540"/>
      <c r="B14" s="572"/>
      <c r="C14" s="573"/>
      <c r="D14" s="573"/>
      <c r="E14" s="573"/>
      <c r="F14" s="573"/>
      <c r="G14" s="573"/>
      <c r="H14" s="574"/>
      <c r="I14" s="570"/>
      <c r="N14" s="571" t="s">
        <v>362</v>
      </c>
      <c r="O14" s="374">
        <v>8</v>
      </c>
      <c r="P14" s="587">
        <v>0.15</v>
      </c>
    </row>
    <row r="15" spans="1:22" ht="13.15" x14ac:dyDescent="0.4">
      <c r="A15" s="540"/>
      <c r="B15" s="567" t="s">
        <v>347</v>
      </c>
      <c r="C15" s="575">
        <f>+C4</f>
        <v>9732749</v>
      </c>
      <c r="D15" s="575">
        <f>ROUNDUP(C15*(1+D12),0)</f>
        <v>10122059</v>
      </c>
      <c r="E15" s="575">
        <f>ROUNDUP(D15*(1+E12),0)</f>
        <v>10729383</v>
      </c>
      <c r="F15" s="575">
        <f>ROUNDUP(E15*(1+F12),0)</f>
        <v>11480440</v>
      </c>
      <c r="G15" s="575">
        <f>ROUNDUP(F15*(1+G12),0)</f>
        <v>12398876</v>
      </c>
      <c r="H15" s="576" t="s">
        <v>348</v>
      </c>
      <c r="I15" s="570"/>
      <c r="N15" s="571" t="s">
        <v>363</v>
      </c>
      <c r="O15" s="374">
        <v>5</v>
      </c>
      <c r="P15" s="587">
        <v>0.15</v>
      </c>
    </row>
    <row r="16" spans="1:22" ht="13.15" x14ac:dyDescent="0.4">
      <c r="A16" s="540"/>
      <c r="B16" s="567" t="s">
        <v>358</v>
      </c>
      <c r="C16" s="575">
        <f>+C7*C13</f>
        <v>32416.182179999996</v>
      </c>
      <c r="D16" s="575">
        <f>ROUNDUP(C16*(1+D13),0)</f>
        <v>33713</v>
      </c>
      <c r="E16" s="575">
        <f t="shared" ref="E16:G16" si="1">ROUNDUP(D16*(1+E13),0)</f>
        <v>35399</v>
      </c>
      <c r="F16" s="575">
        <f t="shared" si="1"/>
        <v>37523</v>
      </c>
      <c r="G16" s="575">
        <f t="shared" si="1"/>
        <v>40150</v>
      </c>
      <c r="H16" s="576" t="s">
        <v>348</v>
      </c>
      <c r="I16" s="577"/>
      <c r="J16" s="563"/>
      <c r="K16" s="540"/>
      <c r="L16" s="540"/>
      <c r="O16">
        <f>+AVERAGE(O13:O14)</f>
        <v>4.9000000000000004</v>
      </c>
    </row>
    <row r="17" spans="1:12" ht="13.15" x14ac:dyDescent="0.4">
      <c r="A17" s="540"/>
      <c r="B17" s="567" t="s">
        <v>349</v>
      </c>
      <c r="C17" s="575">
        <v>12</v>
      </c>
      <c r="D17" s="575">
        <v>12</v>
      </c>
      <c r="E17" s="575">
        <v>3</v>
      </c>
      <c r="F17" s="575">
        <v>3</v>
      </c>
      <c r="G17" s="575">
        <v>3</v>
      </c>
      <c r="H17" s="578" t="s">
        <v>350</v>
      </c>
      <c r="I17" s="577"/>
      <c r="L17" s="540"/>
    </row>
    <row r="18" spans="1:12" ht="13.15" x14ac:dyDescent="0.4">
      <c r="A18" s="540"/>
      <c r="B18" s="567" t="s">
        <v>365</v>
      </c>
      <c r="C18" s="575">
        <f>C17*C16</f>
        <v>388994.18615999992</v>
      </c>
      <c r="D18" s="575">
        <f t="shared" ref="D18:G18" si="2">D17*D16</f>
        <v>404556</v>
      </c>
      <c r="E18" s="575">
        <f t="shared" si="2"/>
        <v>106197</v>
      </c>
      <c r="F18" s="575">
        <f t="shared" si="2"/>
        <v>112569</v>
      </c>
      <c r="G18" s="575">
        <f t="shared" si="2"/>
        <v>120450</v>
      </c>
      <c r="H18" s="574" t="s">
        <v>367</v>
      </c>
      <c r="I18" s="577"/>
      <c r="L18" s="560"/>
    </row>
    <row r="19" spans="1:12" ht="13.15" x14ac:dyDescent="0.4">
      <c r="A19" s="540"/>
      <c r="B19" s="567" t="s">
        <v>366</v>
      </c>
      <c r="C19" s="575">
        <f>ROUNDDOWN(C18/12,0)</f>
        <v>32416</v>
      </c>
      <c r="D19" s="575">
        <f t="shared" ref="D19:G19" si="3">ROUNDDOWN(D18/12,0)</f>
        <v>33713</v>
      </c>
      <c r="E19" s="575">
        <f t="shared" si="3"/>
        <v>8849</v>
      </c>
      <c r="F19" s="575">
        <f t="shared" si="3"/>
        <v>9380</v>
      </c>
      <c r="G19" s="575">
        <f t="shared" si="3"/>
        <v>10037</v>
      </c>
      <c r="H19" s="574" t="s">
        <v>367</v>
      </c>
      <c r="I19" s="577"/>
    </row>
    <row r="20" spans="1:12" ht="13.15" x14ac:dyDescent="0.4">
      <c r="A20" s="540"/>
      <c r="B20" s="567" t="s">
        <v>359</v>
      </c>
      <c r="C20" s="575">
        <f>+C21*$P$13</f>
        <v>388994.18615999998</v>
      </c>
      <c r="D20" s="575">
        <f t="shared" ref="D20:G20" si="4">+D21*$P$13</f>
        <v>404556</v>
      </c>
      <c r="E20" s="575">
        <f t="shared" si="4"/>
        <v>106197</v>
      </c>
      <c r="F20" s="575">
        <f t="shared" si="4"/>
        <v>112569</v>
      </c>
      <c r="G20" s="575">
        <f t="shared" si="4"/>
        <v>120450</v>
      </c>
      <c r="H20" s="574" t="s">
        <v>360</v>
      </c>
      <c r="I20" s="577"/>
    </row>
    <row r="21" spans="1:12" ht="13.15" x14ac:dyDescent="0.4">
      <c r="A21" s="540"/>
      <c r="B21" s="579" t="s">
        <v>351</v>
      </c>
      <c r="C21" s="580">
        <f>+C18*$O$15</f>
        <v>1944970.9307999997</v>
      </c>
      <c r="D21" s="580">
        <f t="shared" ref="D21:G21" si="5">+D18*$O$15</f>
        <v>2022780</v>
      </c>
      <c r="E21" s="580">
        <f t="shared" si="5"/>
        <v>530985</v>
      </c>
      <c r="F21" s="580">
        <f t="shared" si="5"/>
        <v>562845</v>
      </c>
      <c r="G21" s="580">
        <f t="shared" si="5"/>
        <v>602250</v>
      </c>
      <c r="H21" s="581">
        <f>+C21+D21+E21+F21+G21</f>
        <v>5663830.9308000002</v>
      </c>
      <c r="I21" s="577"/>
    </row>
  </sheetData>
  <mergeCells count="1">
    <mergeCell ref="N11:P11"/>
  </mergeCells>
  <dataValidations count="1">
    <dataValidation type="textLength" allowBlank="1" showInputMessage="1" showErrorMessage="1" sqref="N13:O15" xr:uid="{00000000-0002-0000-0100-000000000000}">
      <formula1>1</formula1>
      <formula2>50</formula2>
    </dataValidation>
  </dataValidations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B3:AH153"/>
  <sheetViews>
    <sheetView showGridLines="0" zoomScale="90" zoomScaleNormal="90" workbookViewId="0">
      <selection activeCell="B20" sqref="B20:O28"/>
    </sheetView>
  </sheetViews>
  <sheetFormatPr baseColWidth="10" defaultColWidth="11.46484375" defaultRowHeight="12.75" x14ac:dyDescent="0.35"/>
  <cols>
    <col min="1" max="1" width="1.33203125" style="2" customWidth="1"/>
    <col min="2" max="2" width="45.33203125" style="2" customWidth="1"/>
    <col min="3" max="15" width="13.6640625" style="2" customWidth="1"/>
    <col min="16" max="16" width="10.86328125" style="2" customWidth="1"/>
    <col min="17" max="17" width="18.46484375" style="2" customWidth="1"/>
    <col min="18" max="18" width="14.1328125" style="2" customWidth="1"/>
    <col min="19" max="19" width="4.46484375" style="2" customWidth="1"/>
    <col min="20" max="20" width="6.6640625" style="2" customWidth="1"/>
    <col min="21" max="22" width="11.46484375" style="2"/>
    <col min="23" max="23" width="20.6640625" style="2" customWidth="1"/>
    <col min="24" max="24" width="15.33203125" style="2" customWidth="1"/>
    <col min="25" max="16384" width="11.46484375" style="2"/>
  </cols>
  <sheetData>
    <row r="3" spans="2:25" ht="22.5" x14ac:dyDescent="0.6">
      <c r="B3" s="7" t="s">
        <v>43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25" ht="14.25" customHeight="1" x14ac:dyDescent="0.5">
      <c r="B4" s="99" t="s">
        <v>44</v>
      </c>
    </row>
    <row r="5" spans="2:25" ht="10.5" customHeight="1" x14ac:dyDescent="0.6">
      <c r="B5" s="27"/>
    </row>
    <row r="6" spans="2:25" ht="10.5" customHeight="1" x14ac:dyDescent="0.6">
      <c r="B6" s="27"/>
    </row>
    <row r="7" spans="2:25" ht="17.649999999999999" x14ac:dyDescent="0.5">
      <c r="B7" s="605" t="s">
        <v>45</v>
      </c>
      <c r="C7" s="605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</row>
    <row r="8" spans="2:25" ht="13.15" thickBot="1" x14ac:dyDescent="0.4"/>
    <row r="9" spans="2:25" ht="15" x14ac:dyDescent="0.4">
      <c r="B9" s="610" t="s">
        <v>46</v>
      </c>
      <c r="C9" s="611"/>
      <c r="D9" s="611"/>
      <c r="E9" s="611"/>
      <c r="F9" s="611"/>
      <c r="G9" s="611"/>
      <c r="H9" s="611"/>
      <c r="I9" s="611"/>
      <c r="J9" s="611"/>
      <c r="K9" s="611"/>
      <c r="L9" s="611"/>
      <c r="M9" s="611"/>
      <c r="N9" s="611"/>
      <c r="O9" s="612"/>
      <c r="Q9" s="613" t="s">
        <v>47</v>
      </c>
      <c r="R9" s="614"/>
      <c r="T9" s="618" t="s">
        <v>48</v>
      </c>
      <c r="U9" s="618"/>
      <c r="W9" s="613" t="s">
        <v>326</v>
      </c>
      <c r="X9" s="614"/>
    </row>
    <row r="10" spans="2:25" s="23" customFormat="1" ht="15.4" thickBot="1" x14ac:dyDescent="0.45">
      <c r="B10" s="26" t="s">
        <v>49</v>
      </c>
      <c r="C10" s="25">
        <v>1</v>
      </c>
      <c r="D10" s="25">
        <v>2</v>
      </c>
      <c r="E10" s="25">
        <v>3</v>
      </c>
      <c r="F10" s="25">
        <v>4</v>
      </c>
      <c r="G10" s="25">
        <v>5</v>
      </c>
      <c r="H10" s="25">
        <v>6</v>
      </c>
      <c r="I10" s="25">
        <v>7</v>
      </c>
      <c r="J10" s="25">
        <v>8</v>
      </c>
      <c r="K10" s="25">
        <v>9</v>
      </c>
      <c r="L10" s="25">
        <v>10</v>
      </c>
      <c r="M10" s="25">
        <v>11</v>
      </c>
      <c r="N10" s="25">
        <v>12</v>
      </c>
      <c r="O10" s="24" t="s">
        <v>50</v>
      </c>
      <c r="Q10" s="608" t="s">
        <v>51</v>
      </c>
      <c r="R10" s="609"/>
      <c r="T10" s="618"/>
      <c r="U10" s="618"/>
      <c r="W10" s="514" t="s">
        <v>52</v>
      </c>
      <c r="X10" s="514" t="s">
        <v>111</v>
      </c>
    </row>
    <row r="11" spans="2:25" s="23" customFormat="1" ht="15.4" thickBot="1" x14ac:dyDescent="0.45">
      <c r="B11" s="26" t="s">
        <v>111</v>
      </c>
      <c r="C11" s="520">
        <v>-0.15</v>
      </c>
      <c r="D11" s="520">
        <v>1.02</v>
      </c>
      <c r="E11" s="520">
        <v>-1.1000000000000001</v>
      </c>
      <c r="F11" s="520">
        <v>0</v>
      </c>
      <c r="G11" s="520">
        <v>1.1000000000000001</v>
      </c>
      <c r="H11" s="520">
        <v>0</v>
      </c>
      <c r="I11" s="520">
        <v>1.05</v>
      </c>
      <c r="J11" s="520">
        <v>-1.03</v>
      </c>
      <c r="K11" s="520">
        <v>-1.04</v>
      </c>
      <c r="L11" s="520">
        <v>1.01</v>
      </c>
      <c r="M11" s="520">
        <v>1.03</v>
      </c>
      <c r="N11" s="520">
        <v>1.1000000000000001</v>
      </c>
      <c r="O11" s="24" t="s">
        <v>50</v>
      </c>
      <c r="Q11" s="517"/>
      <c r="R11" s="518"/>
      <c r="T11" s="501"/>
      <c r="U11" s="501"/>
      <c r="W11" s="519"/>
      <c r="X11" s="519"/>
    </row>
    <row r="12" spans="2:25" ht="12" customHeight="1" x14ac:dyDescent="0.4">
      <c r="B12" s="588" t="s">
        <v>379</v>
      </c>
      <c r="C12" s="477">
        <f>ROUNDDOWN(Y12/1.15,0)</f>
        <v>0</v>
      </c>
      <c r="D12" s="477">
        <f>ROUNDUP(Y12*1.02,0)</f>
        <v>0</v>
      </c>
      <c r="E12" s="477">
        <f>ROUNDDOWN(Y12/1.1,0)</f>
        <v>0</v>
      </c>
      <c r="F12" s="477">
        <f>+Y12</f>
        <v>0</v>
      </c>
      <c r="G12" s="477">
        <f>+ROUNDUP(1.1*Y12,0)</f>
        <v>0</v>
      </c>
      <c r="H12" s="477">
        <f>+F12</f>
        <v>0</v>
      </c>
      <c r="I12" s="477">
        <f>+ROUNDUP(1.05*Y12,0)</f>
        <v>0</v>
      </c>
      <c r="J12" s="477">
        <f>ROUNDDOWN(Y12/1.03,0)</f>
        <v>0</v>
      </c>
      <c r="K12" s="477">
        <f>ROUNDDOWN(Y12/1.1,0)</f>
        <v>0</v>
      </c>
      <c r="L12" s="477">
        <f>+ROUNDUP(1.01*Y12,0)</f>
        <v>0</v>
      </c>
      <c r="M12" s="477">
        <f>+ROUNDUP(1.03*Y12,0)</f>
        <v>0</v>
      </c>
      <c r="N12" s="477">
        <f>+ROUNDUP(1.1*Y12,0)</f>
        <v>0</v>
      </c>
      <c r="O12" s="374">
        <f t="shared" ref="O12:O18" si="0">SUM(C12:N12)</f>
        <v>0</v>
      </c>
      <c r="Q12" s="22" t="s">
        <v>52</v>
      </c>
      <c r="R12" s="20" t="s">
        <v>53</v>
      </c>
      <c r="T12" s="393" t="s">
        <v>54</v>
      </c>
      <c r="U12" s="393">
        <v>0</v>
      </c>
      <c r="W12" s="571" t="s">
        <v>368</v>
      </c>
      <c r="X12" s="515">
        <v>0.5</v>
      </c>
      <c r="Y12" s="2">
        <v>0</v>
      </c>
    </row>
    <row r="13" spans="2:25" ht="13.15" x14ac:dyDescent="0.35">
      <c r="B13" s="588" t="s">
        <v>380</v>
      </c>
      <c r="C13" s="477">
        <f>ROUNDDOWN(Y13/1.15,0)</f>
        <v>0</v>
      </c>
      <c r="D13" s="477">
        <f t="shared" ref="D13:D14" si="1">ROUNDUP(Y13*1.02,0)</f>
        <v>0</v>
      </c>
      <c r="E13" s="477">
        <f t="shared" ref="E13:E14" si="2">ROUNDDOWN(Y13/1.1,0)</f>
        <v>0</v>
      </c>
      <c r="F13" s="477">
        <f>+Y13</f>
        <v>0</v>
      </c>
      <c r="G13" s="477">
        <f t="shared" ref="G13:G14" si="3">+ROUNDUP(1.1*Y13,0)</f>
        <v>0</v>
      </c>
      <c r="H13" s="477">
        <f>+F13</f>
        <v>0</v>
      </c>
      <c r="I13" s="477">
        <f t="shared" ref="I13:I14" si="4">+ROUNDUP(1.05*Y13,0)</f>
        <v>0</v>
      </c>
      <c r="J13" s="477">
        <f t="shared" ref="J13:J14" si="5">ROUNDDOWN(Y13/1.1,0)</f>
        <v>0</v>
      </c>
      <c r="K13" s="477">
        <f t="shared" ref="K13:K14" si="6">ROUNDDOWN(Y13/1.1,0)</f>
        <v>0</v>
      </c>
      <c r="L13" s="477">
        <f t="shared" ref="L13:L14" si="7">+ROUNDUP(1.01*Y13,0)</f>
        <v>0</v>
      </c>
      <c r="M13" s="477">
        <f t="shared" ref="M13:M14" si="8">+ROUNDUP(1.03*Y13,0)</f>
        <v>0</v>
      </c>
      <c r="N13" s="477">
        <f t="shared" ref="N13:N14" si="9">+ROUNDUP(1.1*Y13,0)</f>
        <v>0</v>
      </c>
      <c r="O13" s="374">
        <f t="shared" si="0"/>
        <v>0</v>
      </c>
      <c r="Q13" s="571" t="s">
        <v>368</v>
      </c>
      <c r="R13" s="374">
        <f>+PVenta!D14</f>
        <v>70</v>
      </c>
      <c r="T13" s="393" t="s">
        <v>55</v>
      </c>
      <c r="U13" s="479">
        <v>0.04</v>
      </c>
      <c r="W13" s="571" t="s">
        <v>369</v>
      </c>
      <c r="X13" s="516">
        <v>0.3</v>
      </c>
      <c r="Y13" s="2">
        <v>0</v>
      </c>
    </row>
    <row r="14" spans="2:25" ht="13.15" x14ac:dyDescent="0.35">
      <c r="B14" s="588" t="s">
        <v>381</v>
      </c>
      <c r="C14" s="477">
        <f t="shared" ref="C14" si="10">ROUNDDOWN(Y14/1.15,0)</f>
        <v>0</v>
      </c>
      <c r="D14" s="477">
        <f t="shared" si="1"/>
        <v>0</v>
      </c>
      <c r="E14" s="477">
        <f t="shared" si="2"/>
        <v>0</v>
      </c>
      <c r="F14" s="477">
        <f>+Y14</f>
        <v>0</v>
      </c>
      <c r="G14" s="477">
        <f t="shared" si="3"/>
        <v>0</v>
      </c>
      <c r="H14" s="477">
        <f>+F14</f>
        <v>0</v>
      </c>
      <c r="I14" s="477">
        <f t="shared" si="4"/>
        <v>0</v>
      </c>
      <c r="J14" s="477">
        <f t="shared" si="5"/>
        <v>0</v>
      </c>
      <c r="K14" s="477">
        <f t="shared" si="6"/>
        <v>0</v>
      </c>
      <c r="L14" s="477">
        <f t="shared" si="7"/>
        <v>0</v>
      </c>
      <c r="M14" s="477">
        <f t="shared" si="8"/>
        <v>0</v>
      </c>
      <c r="N14" s="477">
        <f t="shared" si="9"/>
        <v>0</v>
      </c>
      <c r="O14" s="374">
        <f t="shared" si="0"/>
        <v>0</v>
      </c>
      <c r="Q14" s="571" t="s">
        <v>369</v>
      </c>
      <c r="R14" s="374">
        <f>+PVenta!D29</f>
        <v>85</v>
      </c>
      <c r="T14" s="393" t="s">
        <v>56</v>
      </c>
      <c r="U14" s="479">
        <v>0.05</v>
      </c>
      <c r="W14" s="571" t="s">
        <v>370</v>
      </c>
      <c r="X14" s="516">
        <v>0.2</v>
      </c>
      <c r="Y14" s="2">
        <v>0</v>
      </c>
    </row>
    <row r="15" spans="2:25" ht="13.15" x14ac:dyDescent="0.35">
      <c r="B15" s="478"/>
      <c r="C15" s="477"/>
      <c r="D15" s="477"/>
      <c r="E15" s="477"/>
      <c r="F15" s="477"/>
      <c r="G15" s="477"/>
      <c r="H15" s="477"/>
      <c r="I15" s="477"/>
      <c r="J15" s="477"/>
      <c r="K15" s="477"/>
      <c r="L15" s="477"/>
      <c r="M15" s="477"/>
      <c r="N15" s="477"/>
      <c r="O15" s="374">
        <f t="shared" si="0"/>
        <v>0</v>
      </c>
      <c r="Q15" s="571" t="s">
        <v>370</v>
      </c>
      <c r="R15" s="374">
        <f>+PVenta!D44</f>
        <v>105</v>
      </c>
      <c r="T15" s="393" t="s">
        <v>57</v>
      </c>
      <c r="U15" s="479">
        <v>7.0000000000000007E-2</v>
      </c>
    </row>
    <row r="16" spans="2:25" ht="13.15" x14ac:dyDescent="0.35">
      <c r="B16" s="478"/>
      <c r="C16" s="477"/>
      <c r="D16" s="477"/>
      <c r="E16" s="477"/>
      <c r="F16" s="477"/>
      <c r="G16" s="477"/>
      <c r="H16" s="477"/>
      <c r="I16" s="477"/>
      <c r="J16" s="477"/>
      <c r="K16" s="477"/>
      <c r="L16" s="477"/>
      <c r="M16" s="477"/>
      <c r="N16" s="477"/>
      <c r="O16" s="374">
        <f t="shared" si="0"/>
        <v>0</v>
      </c>
      <c r="Q16" s="374">
        <f t="shared" ref="Q16:Q18" si="11">B15</f>
        <v>0</v>
      </c>
      <c r="R16" s="374">
        <f>+PVenta!D57</f>
        <v>0</v>
      </c>
      <c r="T16" s="393" t="s">
        <v>58</v>
      </c>
      <c r="U16" s="479">
        <v>7.0000000000000007E-2</v>
      </c>
    </row>
    <row r="17" spans="2:34" ht="13.15" x14ac:dyDescent="0.4">
      <c r="B17" s="478"/>
      <c r="C17" s="477"/>
      <c r="D17" s="477"/>
      <c r="E17" s="477"/>
      <c r="F17" s="477"/>
      <c r="G17" s="477"/>
      <c r="H17" s="477"/>
      <c r="I17" s="477"/>
      <c r="J17" s="477"/>
      <c r="K17" s="477"/>
      <c r="L17" s="477"/>
      <c r="M17" s="477"/>
      <c r="N17" s="477"/>
      <c r="O17" s="374">
        <f t="shared" si="0"/>
        <v>0</v>
      </c>
      <c r="Q17" s="374">
        <f t="shared" si="11"/>
        <v>0</v>
      </c>
      <c r="R17" s="374">
        <f>+PVenta!D71</f>
        <v>0</v>
      </c>
      <c r="T17" s="391"/>
      <c r="U17" s="392"/>
    </row>
    <row r="18" spans="2:34" ht="13.15" x14ac:dyDescent="0.4">
      <c r="B18" s="400" t="s">
        <v>50</v>
      </c>
      <c r="C18" s="399">
        <f>SUM(C12:C17)</f>
        <v>0</v>
      </c>
      <c r="D18" s="399">
        <f t="shared" ref="D18:N18" si="12">SUM(D12:D17)</f>
        <v>0</v>
      </c>
      <c r="E18" s="399">
        <f t="shared" si="12"/>
        <v>0</v>
      </c>
      <c r="F18" s="399">
        <f t="shared" si="12"/>
        <v>0</v>
      </c>
      <c r="G18" s="399">
        <f t="shared" si="12"/>
        <v>0</v>
      </c>
      <c r="H18" s="399">
        <f t="shared" si="12"/>
        <v>0</v>
      </c>
      <c r="I18" s="399">
        <f t="shared" si="12"/>
        <v>0</v>
      </c>
      <c r="J18" s="399">
        <f t="shared" si="12"/>
        <v>0</v>
      </c>
      <c r="K18" s="399">
        <f t="shared" si="12"/>
        <v>0</v>
      </c>
      <c r="L18" s="399">
        <f t="shared" si="12"/>
        <v>0</v>
      </c>
      <c r="M18" s="399">
        <f t="shared" si="12"/>
        <v>0</v>
      </c>
      <c r="N18" s="399">
        <f t="shared" si="12"/>
        <v>0</v>
      </c>
      <c r="O18" s="399">
        <f t="shared" si="0"/>
        <v>0</v>
      </c>
      <c r="Q18" s="374">
        <f t="shared" si="11"/>
        <v>0</v>
      </c>
      <c r="R18" s="374">
        <f>+PVenta!D86</f>
        <v>0</v>
      </c>
      <c r="T18" s="94"/>
      <c r="U18" s="94"/>
    </row>
    <row r="19" spans="2:34" ht="13.5" thickBot="1" x14ac:dyDescent="0.45">
      <c r="C19" s="380"/>
      <c r="D19" s="380"/>
      <c r="E19" s="380"/>
      <c r="F19" s="380"/>
      <c r="G19" s="380"/>
      <c r="H19" s="380"/>
      <c r="I19" s="380"/>
      <c r="J19" s="380"/>
      <c r="K19" s="380"/>
      <c r="L19" s="380"/>
      <c r="M19" s="380"/>
      <c r="N19" s="380"/>
      <c r="O19" s="380"/>
      <c r="Q19" s="94"/>
      <c r="R19" s="386"/>
      <c r="T19" s="391"/>
      <c r="U19" s="392"/>
    </row>
    <row r="20" spans="2:34" ht="13.5" thickBot="1" x14ac:dyDescent="0.45">
      <c r="B20" s="615" t="s">
        <v>59</v>
      </c>
      <c r="C20" s="616"/>
      <c r="D20" s="616"/>
      <c r="E20" s="616"/>
      <c r="F20" s="616"/>
      <c r="G20" s="616"/>
      <c r="H20" s="616"/>
      <c r="I20" s="616"/>
      <c r="J20" s="616"/>
      <c r="K20" s="616"/>
      <c r="L20" s="616"/>
      <c r="M20" s="616"/>
      <c r="N20" s="616"/>
      <c r="O20" s="617"/>
    </row>
    <row r="21" spans="2:34" ht="13.15" x14ac:dyDescent="0.4">
      <c r="B21" s="22" t="s">
        <v>52</v>
      </c>
      <c r="C21" s="21">
        <v>1</v>
      </c>
      <c r="D21" s="21">
        <v>2</v>
      </c>
      <c r="E21" s="21">
        <v>3</v>
      </c>
      <c r="F21" s="21">
        <v>4</v>
      </c>
      <c r="G21" s="21">
        <v>5</v>
      </c>
      <c r="H21" s="21">
        <v>6</v>
      </c>
      <c r="I21" s="21">
        <v>7</v>
      </c>
      <c r="J21" s="21">
        <v>8</v>
      </c>
      <c r="K21" s="21">
        <v>9</v>
      </c>
      <c r="L21" s="21">
        <v>10</v>
      </c>
      <c r="M21" s="21">
        <v>11</v>
      </c>
      <c r="N21" s="21">
        <v>12</v>
      </c>
      <c r="O21" s="20" t="s">
        <v>50</v>
      </c>
    </row>
    <row r="22" spans="2:34" x14ac:dyDescent="0.35">
      <c r="B22" s="19" t="str">
        <f t="shared" ref="B22:B27" si="13">+B12</f>
        <v>Publicación y Desarrollo de Trabajo completo</v>
      </c>
      <c r="C22" s="416">
        <f t="shared" ref="C22:O22" si="14">+C12*$R13</f>
        <v>0</v>
      </c>
      <c r="D22" s="416">
        <f t="shared" si="14"/>
        <v>0</v>
      </c>
      <c r="E22" s="416">
        <f t="shared" si="14"/>
        <v>0</v>
      </c>
      <c r="F22" s="416">
        <f t="shared" si="14"/>
        <v>0</v>
      </c>
      <c r="G22" s="416">
        <f t="shared" si="14"/>
        <v>0</v>
      </c>
      <c r="H22" s="416">
        <f t="shared" si="14"/>
        <v>0</v>
      </c>
      <c r="I22" s="416">
        <f t="shared" si="14"/>
        <v>0</v>
      </c>
      <c r="J22" s="416">
        <f t="shared" si="14"/>
        <v>0</v>
      </c>
      <c r="K22" s="416">
        <f t="shared" si="14"/>
        <v>0</v>
      </c>
      <c r="L22" s="416">
        <f t="shared" si="14"/>
        <v>0</v>
      </c>
      <c r="M22" s="416">
        <f t="shared" si="14"/>
        <v>0</v>
      </c>
      <c r="N22" s="416">
        <f t="shared" si="14"/>
        <v>0</v>
      </c>
      <c r="O22" s="416">
        <f t="shared" si="14"/>
        <v>0</v>
      </c>
      <c r="Q22" s="2" t="s">
        <v>60</v>
      </c>
    </row>
    <row r="23" spans="2:34" x14ac:dyDescent="0.35">
      <c r="B23" s="19" t="str">
        <f t="shared" si="13"/>
        <v>Denuncias o solicitudes de reembolso</v>
      </c>
      <c r="C23" s="416">
        <f t="shared" ref="C23:N23" si="15">+C13*$R14</f>
        <v>0</v>
      </c>
      <c r="D23" s="416">
        <f t="shared" si="15"/>
        <v>0</v>
      </c>
      <c r="E23" s="416">
        <f t="shared" si="15"/>
        <v>0</v>
      </c>
      <c r="F23" s="416">
        <f t="shared" si="15"/>
        <v>0</v>
      </c>
      <c r="G23" s="416">
        <f t="shared" si="15"/>
        <v>0</v>
      </c>
      <c r="H23" s="416">
        <f t="shared" si="15"/>
        <v>0</v>
      </c>
      <c r="I23" s="416">
        <f t="shared" si="15"/>
        <v>0</v>
      </c>
      <c r="J23" s="416">
        <f t="shared" si="15"/>
        <v>0</v>
      </c>
      <c r="K23" s="416">
        <f t="shared" si="15"/>
        <v>0</v>
      </c>
      <c r="L23" s="416">
        <f t="shared" si="15"/>
        <v>0</v>
      </c>
      <c r="M23" s="416">
        <f t="shared" si="15"/>
        <v>0</v>
      </c>
      <c r="N23" s="416">
        <f t="shared" si="15"/>
        <v>0</v>
      </c>
      <c r="O23" s="417">
        <f>SUM(C23:N23)</f>
        <v>0</v>
      </c>
      <c r="Q23" s="2" t="s">
        <v>61</v>
      </c>
      <c r="W23" s="456">
        <v>748</v>
      </c>
      <c r="X23" s="456">
        <v>748</v>
      </c>
      <c r="Y23" s="456">
        <v>748</v>
      </c>
      <c r="Z23" s="456">
        <v>998</v>
      </c>
      <c r="AA23" s="456">
        <v>998</v>
      </c>
      <c r="AB23" s="456">
        <v>998</v>
      </c>
      <c r="AC23" s="456">
        <v>1248</v>
      </c>
      <c r="AD23" s="456">
        <v>1248</v>
      </c>
      <c r="AE23" s="456">
        <v>1248</v>
      </c>
      <c r="AF23" s="456">
        <v>1248</v>
      </c>
      <c r="AG23" s="456">
        <v>1248</v>
      </c>
      <c r="AH23" s="456">
        <v>1248</v>
      </c>
    </row>
    <row r="24" spans="2:34" x14ac:dyDescent="0.35">
      <c r="B24" s="19" t="str">
        <f t="shared" si="13"/>
        <v>Ventas de examenes resueltos</v>
      </c>
      <c r="C24" s="416">
        <f t="shared" ref="C24:N24" si="16">+C14*$R15</f>
        <v>0</v>
      </c>
      <c r="D24" s="416">
        <f t="shared" si="16"/>
        <v>0</v>
      </c>
      <c r="E24" s="416">
        <f t="shared" si="16"/>
        <v>0</v>
      </c>
      <c r="F24" s="416">
        <f t="shared" si="16"/>
        <v>0</v>
      </c>
      <c r="G24" s="416">
        <f t="shared" si="16"/>
        <v>0</v>
      </c>
      <c r="H24" s="416">
        <f t="shared" si="16"/>
        <v>0</v>
      </c>
      <c r="I24" s="416">
        <f t="shared" si="16"/>
        <v>0</v>
      </c>
      <c r="J24" s="416">
        <f t="shared" si="16"/>
        <v>0</v>
      </c>
      <c r="K24" s="416">
        <f t="shared" si="16"/>
        <v>0</v>
      </c>
      <c r="L24" s="416">
        <f t="shared" si="16"/>
        <v>0</v>
      </c>
      <c r="M24" s="416">
        <f t="shared" si="16"/>
        <v>0</v>
      </c>
      <c r="N24" s="416">
        <f t="shared" si="16"/>
        <v>0</v>
      </c>
      <c r="O24" s="417">
        <f>SUM(C24:N24)</f>
        <v>0</v>
      </c>
      <c r="W24" s="456">
        <f>+ROUNDDOWN(W23*0.7,0)</f>
        <v>523</v>
      </c>
      <c r="X24" s="456">
        <f t="shared" ref="X24:AH24" si="17">+ROUNDDOWN(X23*0.7,0)</f>
        <v>523</v>
      </c>
      <c r="Y24" s="456">
        <f t="shared" si="17"/>
        <v>523</v>
      </c>
      <c r="Z24" s="456">
        <f t="shared" si="17"/>
        <v>698</v>
      </c>
      <c r="AA24" s="456">
        <f t="shared" si="17"/>
        <v>698</v>
      </c>
      <c r="AB24" s="456">
        <f t="shared" si="17"/>
        <v>698</v>
      </c>
      <c r="AC24" s="456">
        <f t="shared" si="17"/>
        <v>873</v>
      </c>
      <c r="AD24" s="456">
        <f t="shared" si="17"/>
        <v>873</v>
      </c>
      <c r="AE24" s="456">
        <f t="shared" si="17"/>
        <v>873</v>
      </c>
      <c r="AF24" s="456">
        <f t="shared" si="17"/>
        <v>873</v>
      </c>
      <c r="AG24" s="456">
        <f t="shared" si="17"/>
        <v>873</v>
      </c>
      <c r="AH24" s="456">
        <f t="shared" si="17"/>
        <v>873</v>
      </c>
    </row>
    <row r="25" spans="2:34" x14ac:dyDescent="0.35">
      <c r="B25" s="19">
        <f t="shared" si="13"/>
        <v>0</v>
      </c>
      <c r="C25" s="416">
        <f t="shared" ref="C25:N25" si="18">+C15*$R16</f>
        <v>0</v>
      </c>
      <c r="D25" s="416">
        <f t="shared" si="18"/>
        <v>0</v>
      </c>
      <c r="E25" s="416">
        <f t="shared" si="18"/>
        <v>0</v>
      </c>
      <c r="F25" s="416">
        <f t="shared" si="18"/>
        <v>0</v>
      </c>
      <c r="G25" s="416">
        <f t="shared" si="18"/>
        <v>0</v>
      </c>
      <c r="H25" s="416">
        <f t="shared" si="18"/>
        <v>0</v>
      </c>
      <c r="I25" s="416">
        <f t="shared" si="18"/>
        <v>0</v>
      </c>
      <c r="J25" s="416">
        <f t="shared" si="18"/>
        <v>0</v>
      </c>
      <c r="K25" s="416">
        <f t="shared" si="18"/>
        <v>0</v>
      </c>
      <c r="L25" s="416">
        <f t="shared" si="18"/>
        <v>0</v>
      </c>
      <c r="M25" s="416">
        <f t="shared" si="18"/>
        <v>0</v>
      </c>
      <c r="N25" s="416">
        <f t="shared" si="18"/>
        <v>0</v>
      </c>
      <c r="O25" s="417">
        <f>SUM(C25:N25)</f>
        <v>0</v>
      </c>
      <c r="Q25" s="2" t="s">
        <v>62</v>
      </c>
      <c r="W25" s="456">
        <f>+W24</f>
        <v>523</v>
      </c>
      <c r="X25" s="456">
        <f t="shared" ref="X25:AH25" si="19">+X24</f>
        <v>523</v>
      </c>
      <c r="Y25" s="456">
        <f t="shared" si="19"/>
        <v>523</v>
      </c>
      <c r="Z25" s="456">
        <f t="shared" si="19"/>
        <v>698</v>
      </c>
      <c r="AA25" s="456">
        <f t="shared" si="19"/>
        <v>698</v>
      </c>
      <c r="AB25" s="456">
        <f t="shared" si="19"/>
        <v>698</v>
      </c>
      <c r="AC25" s="456">
        <f t="shared" si="19"/>
        <v>873</v>
      </c>
      <c r="AD25" s="456">
        <f t="shared" si="19"/>
        <v>873</v>
      </c>
      <c r="AE25" s="456">
        <f t="shared" si="19"/>
        <v>873</v>
      </c>
      <c r="AF25" s="456">
        <f t="shared" si="19"/>
        <v>873</v>
      </c>
      <c r="AG25" s="456">
        <f t="shared" si="19"/>
        <v>873</v>
      </c>
      <c r="AH25" s="456">
        <f t="shared" si="19"/>
        <v>873</v>
      </c>
    </row>
    <row r="26" spans="2:34" x14ac:dyDescent="0.35">
      <c r="B26" s="19">
        <f t="shared" si="13"/>
        <v>0</v>
      </c>
      <c r="C26" s="416">
        <f t="shared" ref="C26:N26" si="20">+C16*$R17</f>
        <v>0</v>
      </c>
      <c r="D26" s="416">
        <f t="shared" si="20"/>
        <v>0</v>
      </c>
      <c r="E26" s="416">
        <f t="shared" si="20"/>
        <v>0</v>
      </c>
      <c r="F26" s="416">
        <f t="shared" si="20"/>
        <v>0</v>
      </c>
      <c r="G26" s="416">
        <f t="shared" si="20"/>
        <v>0</v>
      </c>
      <c r="H26" s="416">
        <f t="shared" si="20"/>
        <v>0</v>
      </c>
      <c r="I26" s="416">
        <f t="shared" si="20"/>
        <v>0</v>
      </c>
      <c r="J26" s="416">
        <f t="shared" si="20"/>
        <v>0</v>
      </c>
      <c r="K26" s="416">
        <f t="shared" si="20"/>
        <v>0</v>
      </c>
      <c r="L26" s="416">
        <f t="shared" si="20"/>
        <v>0</v>
      </c>
      <c r="M26" s="416">
        <f t="shared" si="20"/>
        <v>0</v>
      </c>
      <c r="N26" s="416">
        <f t="shared" si="20"/>
        <v>0</v>
      </c>
      <c r="O26" s="417">
        <f>SUM(C26:N26)</f>
        <v>0</v>
      </c>
    </row>
    <row r="27" spans="2:34" x14ac:dyDescent="0.35">
      <c r="B27" s="19">
        <f t="shared" si="13"/>
        <v>0</v>
      </c>
      <c r="C27" s="416">
        <f t="shared" ref="C27:N27" si="21">+C17*$R18</f>
        <v>0</v>
      </c>
      <c r="D27" s="416">
        <f t="shared" si="21"/>
        <v>0</v>
      </c>
      <c r="E27" s="416">
        <f t="shared" si="21"/>
        <v>0</v>
      </c>
      <c r="F27" s="416">
        <f t="shared" si="21"/>
        <v>0</v>
      </c>
      <c r="G27" s="416">
        <f t="shared" si="21"/>
        <v>0</v>
      </c>
      <c r="H27" s="416">
        <f t="shared" si="21"/>
        <v>0</v>
      </c>
      <c r="I27" s="416">
        <f t="shared" si="21"/>
        <v>0</v>
      </c>
      <c r="J27" s="416">
        <f t="shared" si="21"/>
        <v>0</v>
      </c>
      <c r="K27" s="416">
        <f t="shared" si="21"/>
        <v>0</v>
      </c>
      <c r="L27" s="416">
        <f t="shared" si="21"/>
        <v>0</v>
      </c>
      <c r="M27" s="416">
        <f t="shared" si="21"/>
        <v>0</v>
      </c>
      <c r="N27" s="416">
        <f t="shared" si="21"/>
        <v>0</v>
      </c>
      <c r="O27" s="417">
        <f>SUM(C27:N27)</f>
        <v>0</v>
      </c>
    </row>
    <row r="28" spans="2:34" ht="13.5" thickBot="1" x14ac:dyDescent="0.45">
      <c r="B28" s="357" t="s">
        <v>63</v>
      </c>
      <c r="C28" s="420">
        <f>SUM(C22:C27)</f>
        <v>0</v>
      </c>
      <c r="D28" s="420">
        <f t="shared" ref="D28:N28" si="22">SUM(D22:D27)</f>
        <v>0</v>
      </c>
      <c r="E28" s="420">
        <f t="shared" si="22"/>
        <v>0</v>
      </c>
      <c r="F28" s="420">
        <f t="shared" si="22"/>
        <v>0</v>
      </c>
      <c r="G28" s="420">
        <f t="shared" si="22"/>
        <v>0</v>
      </c>
      <c r="H28" s="420">
        <f t="shared" si="22"/>
        <v>0</v>
      </c>
      <c r="I28" s="420">
        <f t="shared" si="22"/>
        <v>0</v>
      </c>
      <c r="J28" s="420">
        <f t="shared" si="22"/>
        <v>0</v>
      </c>
      <c r="K28" s="420">
        <f t="shared" si="22"/>
        <v>0</v>
      </c>
      <c r="L28" s="420">
        <f t="shared" si="22"/>
        <v>0</v>
      </c>
      <c r="M28" s="420">
        <f t="shared" si="22"/>
        <v>0</v>
      </c>
      <c r="N28" s="420">
        <f t="shared" si="22"/>
        <v>0</v>
      </c>
      <c r="O28" s="420">
        <f>SUM(O22:O27)</f>
        <v>0</v>
      </c>
      <c r="Q28" s="2" t="s">
        <v>64</v>
      </c>
      <c r="W28" s="2">
        <f>ROUNDUP(W23*1.5,0)</f>
        <v>1122</v>
      </c>
      <c r="X28" s="2">
        <f t="shared" ref="X28:AH28" si="23">ROUNDUP(X23*1.5,0)</f>
        <v>1122</v>
      </c>
      <c r="Y28" s="2">
        <f t="shared" si="23"/>
        <v>1122</v>
      </c>
      <c r="Z28" s="2">
        <f t="shared" si="23"/>
        <v>1497</v>
      </c>
      <c r="AA28" s="2">
        <f t="shared" si="23"/>
        <v>1497</v>
      </c>
      <c r="AB28" s="2">
        <f t="shared" si="23"/>
        <v>1497</v>
      </c>
      <c r="AC28" s="2">
        <f t="shared" si="23"/>
        <v>1872</v>
      </c>
      <c r="AD28" s="2">
        <f t="shared" si="23"/>
        <v>1872</v>
      </c>
      <c r="AE28" s="2">
        <f t="shared" si="23"/>
        <v>1872</v>
      </c>
      <c r="AF28" s="2">
        <f t="shared" si="23"/>
        <v>1872</v>
      </c>
      <c r="AG28" s="2">
        <f t="shared" si="23"/>
        <v>1872</v>
      </c>
      <c r="AH28" s="2">
        <f t="shared" si="23"/>
        <v>1872</v>
      </c>
    </row>
    <row r="29" spans="2:34" x14ac:dyDescent="0.35">
      <c r="W29" s="2">
        <f t="shared" ref="W29:AH29" si="24">ROUNDUP(W24*1.5,0)</f>
        <v>785</v>
      </c>
      <c r="X29" s="2">
        <f t="shared" si="24"/>
        <v>785</v>
      </c>
      <c r="Y29" s="2">
        <f t="shared" si="24"/>
        <v>785</v>
      </c>
      <c r="Z29" s="2">
        <f t="shared" si="24"/>
        <v>1047</v>
      </c>
      <c r="AA29" s="2">
        <f t="shared" si="24"/>
        <v>1047</v>
      </c>
      <c r="AB29" s="2">
        <f t="shared" si="24"/>
        <v>1047</v>
      </c>
      <c r="AC29" s="2">
        <f t="shared" si="24"/>
        <v>1310</v>
      </c>
      <c r="AD29" s="2">
        <f t="shared" si="24"/>
        <v>1310</v>
      </c>
      <c r="AE29" s="2">
        <f t="shared" si="24"/>
        <v>1310</v>
      </c>
      <c r="AF29" s="2">
        <f t="shared" si="24"/>
        <v>1310</v>
      </c>
      <c r="AG29" s="2">
        <f t="shared" si="24"/>
        <v>1310</v>
      </c>
      <c r="AH29" s="2">
        <f t="shared" si="24"/>
        <v>1310</v>
      </c>
    </row>
    <row r="30" spans="2:34" ht="17.649999999999999" x14ac:dyDescent="0.5">
      <c r="B30" s="605" t="s">
        <v>65</v>
      </c>
      <c r="C30" s="605"/>
      <c r="D30" s="605"/>
      <c r="E30" s="605"/>
      <c r="F30" s="605"/>
      <c r="G30" s="605"/>
      <c r="H30" s="605"/>
      <c r="I30" s="605"/>
      <c r="J30" s="605"/>
      <c r="K30" s="605"/>
      <c r="L30" s="605"/>
      <c r="M30" s="605"/>
      <c r="N30" s="605"/>
      <c r="O30" s="605"/>
      <c r="W30" s="2">
        <f t="shared" ref="W30:AH30" si="25">ROUNDUP(W25*1.5,0)</f>
        <v>785</v>
      </c>
      <c r="X30" s="2">
        <f t="shared" si="25"/>
        <v>785</v>
      </c>
      <c r="Y30" s="2">
        <f t="shared" si="25"/>
        <v>785</v>
      </c>
      <c r="Z30" s="2">
        <f t="shared" si="25"/>
        <v>1047</v>
      </c>
      <c r="AA30" s="2">
        <f t="shared" si="25"/>
        <v>1047</v>
      </c>
      <c r="AB30" s="2">
        <f t="shared" si="25"/>
        <v>1047</v>
      </c>
      <c r="AC30" s="2">
        <f t="shared" si="25"/>
        <v>1310</v>
      </c>
      <c r="AD30" s="2">
        <f t="shared" si="25"/>
        <v>1310</v>
      </c>
      <c r="AE30" s="2">
        <f t="shared" si="25"/>
        <v>1310</v>
      </c>
      <c r="AF30" s="2">
        <f t="shared" si="25"/>
        <v>1310</v>
      </c>
      <c r="AG30" s="2">
        <f t="shared" si="25"/>
        <v>1310</v>
      </c>
      <c r="AH30" s="2">
        <f t="shared" si="25"/>
        <v>1310</v>
      </c>
    </row>
    <row r="31" spans="2:34" ht="13.15" thickBot="1" x14ac:dyDescent="0.4">
      <c r="C31" s="54"/>
    </row>
    <row r="32" spans="2:34" ht="15" x14ac:dyDescent="0.4">
      <c r="B32" s="610" t="s">
        <v>46</v>
      </c>
      <c r="C32" s="611"/>
      <c r="D32" s="611"/>
      <c r="E32" s="611"/>
      <c r="F32" s="611"/>
      <c r="G32" s="611"/>
      <c r="H32" s="611"/>
      <c r="I32" s="611"/>
      <c r="J32" s="611"/>
      <c r="K32" s="611"/>
      <c r="L32" s="611"/>
      <c r="M32" s="611"/>
      <c r="N32" s="611"/>
      <c r="O32" s="612"/>
      <c r="Q32" s="613" t="s">
        <v>47</v>
      </c>
      <c r="R32" s="614"/>
    </row>
    <row r="33" spans="2:18" ht="13.5" thickBot="1" x14ac:dyDescent="0.45">
      <c r="B33" s="26" t="s">
        <v>52</v>
      </c>
      <c r="C33" s="401">
        <v>1</v>
      </c>
      <c r="D33" s="401">
        <v>2</v>
      </c>
      <c r="E33" s="401">
        <v>3</v>
      </c>
      <c r="F33" s="401">
        <v>4</v>
      </c>
      <c r="G33" s="401">
        <v>5</v>
      </c>
      <c r="H33" s="401">
        <v>6</v>
      </c>
      <c r="I33" s="401">
        <v>7</v>
      </c>
      <c r="J33" s="401">
        <v>8</v>
      </c>
      <c r="K33" s="401">
        <v>9</v>
      </c>
      <c r="L33" s="401">
        <v>10</v>
      </c>
      <c r="M33" s="401">
        <v>11</v>
      </c>
      <c r="N33" s="401">
        <v>12</v>
      </c>
      <c r="O33" s="402" t="s">
        <v>50</v>
      </c>
      <c r="P33" s="23"/>
      <c r="Q33" s="608" t="s">
        <v>51</v>
      </c>
      <c r="R33" s="609"/>
    </row>
    <row r="34" spans="2:18" ht="13.15" x14ac:dyDescent="0.4">
      <c r="B34" s="421" t="str">
        <f>B12</f>
        <v>Publicación y Desarrollo de Trabajo completo</v>
      </c>
      <c r="C34" s="457">
        <f>+C12*1.04</f>
        <v>0</v>
      </c>
      <c r="D34" s="457">
        <f t="shared" ref="D34:N34" si="26">+D12*1.04</f>
        <v>0</v>
      </c>
      <c r="E34" s="457">
        <f t="shared" si="26"/>
        <v>0</v>
      </c>
      <c r="F34" s="457">
        <f t="shared" si="26"/>
        <v>0</v>
      </c>
      <c r="G34" s="457">
        <f t="shared" si="26"/>
        <v>0</v>
      </c>
      <c r="H34" s="457">
        <f t="shared" si="26"/>
        <v>0</v>
      </c>
      <c r="I34" s="457">
        <f t="shared" si="26"/>
        <v>0</v>
      </c>
      <c r="J34" s="457">
        <f t="shared" si="26"/>
        <v>0</v>
      </c>
      <c r="K34" s="457">
        <f t="shared" si="26"/>
        <v>0</v>
      </c>
      <c r="L34" s="457">
        <f t="shared" si="26"/>
        <v>0</v>
      </c>
      <c r="M34" s="457">
        <f t="shared" si="26"/>
        <v>0</v>
      </c>
      <c r="N34" s="457">
        <f t="shared" si="26"/>
        <v>0</v>
      </c>
      <c r="O34" s="369">
        <f>SUM(C34:N34)</f>
        <v>0</v>
      </c>
      <c r="Q34" s="22" t="s">
        <v>52</v>
      </c>
      <c r="R34" s="20" t="s">
        <v>53</v>
      </c>
    </row>
    <row r="35" spans="2:18" x14ac:dyDescent="0.35">
      <c r="B35" s="421" t="str">
        <f t="shared" ref="B35:B40" si="27">B13</f>
        <v>Denuncias o solicitudes de reembolso</v>
      </c>
      <c r="C35" s="457">
        <f>+C13*1.04</f>
        <v>0</v>
      </c>
      <c r="D35" s="457">
        <f t="shared" ref="D35:N35" si="28">+D13*1.04</f>
        <v>0</v>
      </c>
      <c r="E35" s="457">
        <f t="shared" si="28"/>
        <v>0</v>
      </c>
      <c r="F35" s="457">
        <f t="shared" si="28"/>
        <v>0</v>
      </c>
      <c r="G35" s="457">
        <f t="shared" si="28"/>
        <v>0</v>
      </c>
      <c r="H35" s="457">
        <f t="shared" si="28"/>
        <v>0</v>
      </c>
      <c r="I35" s="457">
        <f t="shared" si="28"/>
        <v>0</v>
      </c>
      <c r="J35" s="457">
        <f t="shared" si="28"/>
        <v>0</v>
      </c>
      <c r="K35" s="457">
        <f t="shared" si="28"/>
        <v>0</v>
      </c>
      <c r="L35" s="457">
        <f t="shared" si="28"/>
        <v>0</v>
      </c>
      <c r="M35" s="457">
        <f t="shared" si="28"/>
        <v>0</v>
      </c>
      <c r="N35" s="457">
        <f t="shared" si="28"/>
        <v>0</v>
      </c>
      <c r="O35" s="369">
        <f t="shared" ref="O35:O39" si="29">SUM(C35:N35)</f>
        <v>0</v>
      </c>
      <c r="Q35" s="387" t="str">
        <f t="shared" ref="Q35:Q40" si="30">B34</f>
        <v>Publicación y Desarrollo de Trabajo completo</v>
      </c>
      <c r="R35" s="388">
        <f>+R13</f>
        <v>70</v>
      </c>
    </row>
    <row r="36" spans="2:18" x14ac:dyDescent="0.35">
      <c r="B36" s="421" t="str">
        <f t="shared" si="27"/>
        <v>Ventas de examenes resueltos</v>
      </c>
      <c r="C36" s="457">
        <f t="shared" ref="C36:N36" si="31">+C14*1.04</f>
        <v>0</v>
      </c>
      <c r="D36" s="457">
        <f t="shared" si="31"/>
        <v>0</v>
      </c>
      <c r="E36" s="457">
        <f t="shared" si="31"/>
        <v>0</v>
      </c>
      <c r="F36" s="457">
        <f t="shared" si="31"/>
        <v>0</v>
      </c>
      <c r="G36" s="457">
        <f t="shared" si="31"/>
        <v>0</v>
      </c>
      <c r="H36" s="457">
        <f t="shared" si="31"/>
        <v>0</v>
      </c>
      <c r="I36" s="457">
        <f t="shared" si="31"/>
        <v>0</v>
      </c>
      <c r="J36" s="457">
        <f t="shared" si="31"/>
        <v>0</v>
      </c>
      <c r="K36" s="457">
        <f t="shared" si="31"/>
        <v>0</v>
      </c>
      <c r="L36" s="457">
        <f t="shared" si="31"/>
        <v>0</v>
      </c>
      <c r="M36" s="457">
        <f t="shared" si="31"/>
        <v>0</v>
      </c>
      <c r="N36" s="457">
        <f t="shared" si="31"/>
        <v>0</v>
      </c>
      <c r="O36" s="369">
        <f t="shared" si="29"/>
        <v>0</v>
      </c>
      <c r="P36" s="394"/>
      <c r="Q36" s="387" t="str">
        <f t="shared" si="30"/>
        <v>Denuncias o solicitudes de reembolso</v>
      </c>
      <c r="R36" s="388">
        <f>+R14</f>
        <v>85</v>
      </c>
    </row>
    <row r="37" spans="2:18" x14ac:dyDescent="0.35">
      <c r="B37" s="421">
        <f t="shared" si="27"/>
        <v>0</v>
      </c>
      <c r="C37" s="457">
        <f t="shared" ref="C37:N37" si="32">+C15*(1+$U$13)</f>
        <v>0</v>
      </c>
      <c r="D37" s="457">
        <f t="shared" si="32"/>
        <v>0</v>
      </c>
      <c r="E37" s="457">
        <f t="shared" si="32"/>
        <v>0</v>
      </c>
      <c r="F37" s="457">
        <f t="shared" si="32"/>
        <v>0</v>
      </c>
      <c r="G37" s="457">
        <f t="shared" si="32"/>
        <v>0</v>
      </c>
      <c r="H37" s="457">
        <f t="shared" si="32"/>
        <v>0</v>
      </c>
      <c r="I37" s="457">
        <f t="shared" si="32"/>
        <v>0</v>
      </c>
      <c r="J37" s="457">
        <f t="shared" si="32"/>
        <v>0</v>
      </c>
      <c r="K37" s="457">
        <f t="shared" si="32"/>
        <v>0</v>
      </c>
      <c r="L37" s="457">
        <f t="shared" si="32"/>
        <v>0</v>
      </c>
      <c r="M37" s="457">
        <f t="shared" si="32"/>
        <v>0</v>
      </c>
      <c r="N37" s="457">
        <f t="shared" si="32"/>
        <v>0</v>
      </c>
      <c r="O37" s="369">
        <f t="shared" si="29"/>
        <v>0</v>
      </c>
      <c r="Q37" s="387" t="str">
        <f t="shared" si="30"/>
        <v>Ventas de examenes resueltos</v>
      </c>
      <c r="R37" s="388">
        <f>+R15</f>
        <v>105</v>
      </c>
    </row>
    <row r="38" spans="2:18" x14ac:dyDescent="0.35">
      <c r="B38" s="421">
        <f t="shared" si="27"/>
        <v>0</v>
      </c>
      <c r="C38" s="457">
        <f t="shared" ref="C38:N38" si="33">+C16*(1+$U$13)</f>
        <v>0</v>
      </c>
      <c r="D38" s="457">
        <f t="shared" si="33"/>
        <v>0</v>
      </c>
      <c r="E38" s="457">
        <f t="shared" si="33"/>
        <v>0</v>
      </c>
      <c r="F38" s="457">
        <f t="shared" si="33"/>
        <v>0</v>
      </c>
      <c r="G38" s="457">
        <f t="shared" si="33"/>
        <v>0</v>
      </c>
      <c r="H38" s="457">
        <f t="shared" si="33"/>
        <v>0</v>
      </c>
      <c r="I38" s="457">
        <f t="shared" si="33"/>
        <v>0</v>
      </c>
      <c r="J38" s="457">
        <f t="shared" si="33"/>
        <v>0</v>
      </c>
      <c r="K38" s="457">
        <f t="shared" si="33"/>
        <v>0</v>
      </c>
      <c r="L38" s="457">
        <f t="shared" si="33"/>
        <v>0</v>
      </c>
      <c r="M38" s="457">
        <f t="shared" si="33"/>
        <v>0</v>
      </c>
      <c r="N38" s="457">
        <f t="shared" si="33"/>
        <v>0</v>
      </c>
      <c r="O38" s="369">
        <f t="shared" si="29"/>
        <v>0</v>
      </c>
      <c r="Q38" s="387">
        <f t="shared" si="30"/>
        <v>0</v>
      </c>
      <c r="R38" s="388">
        <f t="shared" ref="R38:R40" si="34">+R16</f>
        <v>0</v>
      </c>
    </row>
    <row r="39" spans="2:18" x14ac:dyDescent="0.35">
      <c r="B39" s="421">
        <f t="shared" si="27"/>
        <v>0</v>
      </c>
      <c r="C39" s="457">
        <f t="shared" ref="C39:N39" si="35">+C17*(1+$U$13)</f>
        <v>0</v>
      </c>
      <c r="D39" s="457">
        <f t="shared" si="35"/>
        <v>0</v>
      </c>
      <c r="E39" s="457">
        <f t="shared" si="35"/>
        <v>0</v>
      </c>
      <c r="F39" s="457">
        <f t="shared" si="35"/>
        <v>0</v>
      </c>
      <c r="G39" s="457">
        <f t="shared" si="35"/>
        <v>0</v>
      </c>
      <c r="H39" s="457">
        <f t="shared" si="35"/>
        <v>0</v>
      </c>
      <c r="I39" s="457">
        <f t="shared" si="35"/>
        <v>0</v>
      </c>
      <c r="J39" s="457">
        <f t="shared" si="35"/>
        <v>0</v>
      </c>
      <c r="K39" s="457">
        <f t="shared" si="35"/>
        <v>0</v>
      </c>
      <c r="L39" s="457">
        <f t="shared" si="35"/>
        <v>0</v>
      </c>
      <c r="M39" s="457">
        <f t="shared" si="35"/>
        <v>0</v>
      </c>
      <c r="N39" s="457">
        <f t="shared" si="35"/>
        <v>0</v>
      </c>
      <c r="O39" s="369">
        <f t="shared" si="29"/>
        <v>0</v>
      </c>
      <c r="Q39" s="387">
        <f t="shared" si="30"/>
        <v>0</v>
      </c>
      <c r="R39" s="388">
        <f t="shared" si="34"/>
        <v>0</v>
      </c>
    </row>
    <row r="40" spans="2:18" ht="13.5" thickBot="1" x14ac:dyDescent="0.45">
      <c r="B40" s="398" t="str">
        <f t="shared" si="27"/>
        <v>Total</v>
      </c>
      <c r="C40" s="404">
        <f>SUM(C34:C39)</f>
        <v>0</v>
      </c>
      <c r="D40" s="404">
        <f t="shared" ref="D40:N40" si="36">SUM(D34:D39)</f>
        <v>0</v>
      </c>
      <c r="E40" s="404">
        <f t="shared" si="36"/>
        <v>0</v>
      </c>
      <c r="F40" s="404">
        <f t="shared" si="36"/>
        <v>0</v>
      </c>
      <c r="G40" s="404">
        <f t="shared" si="36"/>
        <v>0</v>
      </c>
      <c r="H40" s="404">
        <f t="shared" si="36"/>
        <v>0</v>
      </c>
      <c r="I40" s="404">
        <f t="shared" si="36"/>
        <v>0</v>
      </c>
      <c r="J40" s="404">
        <f t="shared" si="36"/>
        <v>0</v>
      </c>
      <c r="K40" s="404">
        <f t="shared" si="36"/>
        <v>0</v>
      </c>
      <c r="L40" s="404">
        <f t="shared" si="36"/>
        <v>0</v>
      </c>
      <c r="M40" s="404">
        <f t="shared" si="36"/>
        <v>0</v>
      </c>
      <c r="N40" s="404">
        <f t="shared" si="36"/>
        <v>0</v>
      </c>
      <c r="O40" s="397">
        <f>SUM(C40:N40)</f>
        <v>0</v>
      </c>
      <c r="Q40" s="389">
        <f t="shared" si="30"/>
        <v>0</v>
      </c>
      <c r="R40" s="390">
        <f t="shared" si="34"/>
        <v>0</v>
      </c>
    </row>
    <row r="41" spans="2:18" ht="13.5" thickBot="1" x14ac:dyDescent="0.45">
      <c r="Q41" s="94"/>
      <c r="R41" s="386"/>
    </row>
    <row r="42" spans="2:18" ht="13.5" thickBot="1" x14ac:dyDescent="0.45">
      <c r="B42" s="615" t="s">
        <v>59</v>
      </c>
      <c r="C42" s="616"/>
      <c r="D42" s="616"/>
      <c r="E42" s="616"/>
      <c r="F42" s="616"/>
      <c r="G42" s="616"/>
      <c r="H42" s="616"/>
      <c r="I42" s="616"/>
      <c r="J42" s="616"/>
      <c r="K42" s="616"/>
      <c r="L42" s="616"/>
      <c r="M42" s="616"/>
      <c r="N42" s="616"/>
      <c r="O42" s="617"/>
    </row>
    <row r="43" spans="2:18" ht="13.15" x14ac:dyDescent="0.4">
      <c r="B43" s="22" t="s">
        <v>52</v>
      </c>
      <c r="C43" s="21">
        <v>1</v>
      </c>
      <c r="D43" s="21">
        <v>2</v>
      </c>
      <c r="E43" s="21">
        <v>3</v>
      </c>
      <c r="F43" s="21">
        <v>4</v>
      </c>
      <c r="G43" s="21">
        <v>5</v>
      </c>
      <c r="H43" s="21">
        <v>6</v>
      </c>
      <c r="I43" s="21">
        <v>7</v>
      </c>
      <c r="J43" s="21">
        <v>8</v>
      </c>
      <c r="K43" s="21">
        <v>9</v>
      </c>
      <c r="L43" s="21">
        <v>10</v>
      </c>
      <c r="M43" s="21">
        <v>11</v>
      </c>
      <c r="N43" s="21">
        <v>12</v>
      </c>
      <c r="O43" s="20" t="s">
        <v>50</v>
      </c>
    </row>
    <row r="44" spans="2:18" x14ac:dyDescent="0.35">
      <c r="B44" s="19" t="str">
        <f t="shared" ref="B44:B49" si="37">+B34</f>
        <v>Publicación y Desarrollo de Trabajo completo</v>
      </c>
      <c r="C44" s="416">
        <f t="shared" ref="C44:N44" si="38">+C34*$R35</f>
        <v>0</v>
      </c>
      <c r="D44" s="416">
        <f t="shared" si="38"/>
        <v>0</v>
      </c>
      <c r="E44" s="416">
        <f t="shared" si="38"/>
        <v>0</v>
      </c>
      <c r="F44" s="416">
        <f t="shared" si="38"/>
        <v>0</v>
      </c>
      <c r="G44" s="416">
        <f t="shared" si="38"/>
        <v>0</v>
      </c>
      <c r="H44" s="416">
        <f t="shared" si="38"/>
        <v>0</v>
      </c>
      <c r="I44" s="416">
        <f t="shared" si="38"/>
        <v>0</v>
      </c>
      <c r="J44" s="416">
        <f t="shared" si="38"/>
        <v>0</v>
      </c>
      <c r="K44" s="416">
        <f t="shared" si="38"/>
        <v>0</v>
      </c>
      <c r="L44" s="416">
        <f t="shared" si="38"/>
        <v>0</v>
      </c>
      <c r="M44" s="416">
        <f t="shared" si="38"/>
        <v>0</v>
      </c>
      <c r="N44" s="416">
        <f t="shared" si="38"/>
        <v>0</v>
      </c>
      <c r="O44" s="417">
        <f t="shared" ref="O44:O49" si="39">SUM(C44:N44)</f>
        <v>0</v>
      </c>
    </row>
    <row r="45" spans="2:18" x14ac:dyDescent="0.35">
      <c r="B45" s="19" t="str">
        <f t="shared" si="37"/>
        <v>Denuncias o solicitudes de reembolso</v>
      </c>
      <c r="C45" s="416">
        <f t="shared" ref="C45:N45" si="40">+C35*$R36</f>
        <v>0</v>
      </c>
      <c r="D45" s="416">
        <f t="shared" si="40"/>
        <v>0</v>
      </c>
      <c r="E45" s="416">
        <f t="shared" si="40"/>
        <v>0</v>
      </c>
      <c r="F45" s="416">
        <f t="shared" si="40"/>
        <v>0</v>
      </c>
      <c r="G45" s="416">
        <f t="shared" si="40"/>
        <v>0</v>
      </c>
      <c r="H45" s="416">
        <f t="shared" si="40"/>
        <v>0</v>
      </c>
      <c r="I45" s="416">
        <f t="shared" si="40"/>
        <v>0</v>
      </c>
      <c r="J45" s="416">
        <f t="shared" si="40"/>
        <v>0</v>
      </c>
      <c r="K45" s="416">
        <f t="shared" si="40"/>
        <v>0</v>
      </c>
      <c r="L45" s="416">
        <f t="shared" si="40"/>
        <v>0</v>
      </c>
      <c r="M45" s="416">
        <f t="shared" si="40"/>
        <v>0</v>
      </c>
      <c r="N45" s="416">
        <f t="shared" si="40"/>
        <v>0</v>
      </c>
      <c r="O45" s="417">
        <f t="shared" si="39"/>
        <v>0</v>
      </c>
    </row>
    <row r="46" spans="2:18" x14ac:dyDescent="0.35">
      <c r="B46" s="19" t="str">
        <f t="shared" si="37"/>
        <v>Ventas de examenes resueltos</v>
      </c>
      <c r="C46" s="416">
        <f t="shared" ref="C46:N46" si="41">+C36*$R37</f>
        <v>0</v>
      </c>
      <c r="D46" s="416">
        <f t="shared" si="41"/>
        <v>0</v>
      </c>
      <c r="E46" s="416">
        <f t="shared" si="41"/>
        <v>0</v>
      </c>
      <c r="F46" s="416">
        <f t="shared" si="41"/>
        <v>0</v>
      </c>
      <c r="G46" s="416">
        <f t="shared" si="41"/>
        <v>0</v>
      </c>
      <c r="H46" s="416">
        <f t="shared" si="41"/>
        <v>0</v>
      </c>
      <c r="I46" s="416">
        <f t="shared" si="41"/>
        <v>0</v>
      </c>
      <c r="J46" s="416">
        <f t="shared" si="41"/>
        <v>0</v>
      </c>
      <c r="K46" s="416">
        <f t="shared" si="41"/>
        <v>0</v>
      </c>
      <c r="L46" s="416">
        <f t="shared" si="41"/>
        <v>0</v>
      </c>
      <c r="M46" s="416">
        <f t="shared" si="41"/>
        <v>0</v>
      </c>
      <c r="N46" s="416">
        <f t="shared" si="41"/>
        <v>0</v>
      </c>
      <c r="O46" s="417">
        <f t="shared" si="39"/>
        <v>0</v>
      </c>
    </row>
    <row r="47" spans="2:18" x14ac:dyDescent="0.35">
      <c r="B47" s="19">
        <f t="shared" si="37"/>
        <v>0</v>
      </c>
      <c r="C47" s="416">
        <f t="shared" ref="C47:N47" si="42">+C37*$R38</f>
        <v>0</v>
      </c>
      <c r="D47" s="416">
        <f t="shared" si="42"/>
        <v>0</v>
      </c>
      <c r="E47" s="416">
        <f t="shared" si="42"/>
        <v>0</v>
      </c>
      <c r="F47" s="416">
        <f t="shared" si="42"/>
        <v>0</v>
      </c>
      <c r="G47" s="416">
        <f t="shared" si="42"/>
        <v>0</v>
      </c>
      <c r="H47" s="416">
        <f t="shared" si="42"/>
        <v>0</v>
      </c>
      <c r="I47" s="416">
        <f t="shared" si="42"/>
        <v>0</v>
      </c>
      <c r="J47" s="416">
        <f t="shared" si="42"/>
        <v>0</v>
      </c>
      <c r="K47" s="416">
        <f t="shared" si="42"/>
        <v>0</v>
      </c>
      <c r="L47" s="416">
        <f t="shared" si="42"/>
        <v>0</v>
      </c>
      <c r="M47" s="416">
        <f t="shared" si="42"/>
        <v>0</v>
      </c>
      <c r="N47" s="416">
        <f t="shared" si="42"/>
        <v>0</v>
      </c>
      <c r="O47" s="417">
        <f t="shared" si="39"/>
        <v>0</v>
      </c>
    </row>
    <row r="48" spans="2:18" x14ac:dyDescent="0.35">
      <c r="B48" s="19">
        <f t="shared" si="37"/>
        <v>0</v>
      </c>
      <c r="C48" s="416">
        <f t="shared" ref="C48:N48" si="43">+C38*$R39</f>
        <v>0</v>
      </c>
      <c r="D48" s="416">
        <f t="shared" si="43"/>
        <v>0</v>
      </c>
      <c r="E48" s="416">
        <f t="shared" si="43"/>
        <v>0</v>
      </c>
      <c r="F48" s="416">
        <f t="shared" si="43"/>
        <v>0</v>
      </c>
      <c r="G48" s="416">
        <f t="shared" si="43"/>
        <v>0</v>
      </c>
      <c r="H48" s="416">
        <f t="shared" si="43"/>
        <v>0</v>
      </c>
      <c r="I48" s="416">
        <f t="shared" si="43"/>
        <v>0</v>
      </c>
      <c r="J48" s="416">
        <f t="shared" si="43"/>
        <v>0</v>
      </c>
      <c r="K48" s="416">
        <f t="shared" si="43"/>
        <v>0</v>
      </c>
      <c r="L48" s="416">
        <f t="shared" si="43"/>
        <v>0</v>
      </c>
      <c r="M48" s="416">
        <f t="shared" si="43"/>
        <v>0</v>
      </c>
      <c r="N48" s="416">
        <f t="shared" si="43"/>
        <v>0</v>
      </c>
      <c r="O48" s="417">
        <f t="shared" si="39"/>
        <v>0</v>
      </c>
    </row>
    <row r="49" spans="2:18" x14ac:dyDescent="0.35">
      <c r="B49" s="19">
        <f t="shared" si="37"/>
        <v>0</v>
      </c>
      <c r="C49" s="416">
        <f t="shared" ref="C49:N49" si="44">+C39*$R40</f>
        <v>0</v>
      </c>
      <c r="D49" s="416">
        <f t="shared" si="44"/>
        <v>0</v>
      </c>
      <c r="E49" s="416">
        <f t="shared" si="44"/>
        <v>0</v>
      </c>
      <c r="F49" s="416">
        <f t="shared" si="44"/>
        <v>0</v>
      </c>
      <c r="G49" s="416">
        <f t="shared" si="44"/>
        <v>0</v>
      </c>
      <c r="H49" s="416">
        <f t="shared" si="44"/>
        <v>0</v>
      </c>
      <c r="I49" s="416">
        <f t="shared" si="44"/>
        <v>0</v>
      </c>
      <c r="J49" s="416">
        <f t="shared" si="44"/>
        <v>0</v>
      </c>
      <c r="K49" s="416">
        <f t="shared" si="44"/>
        <v>0</v>
      </c>
      <c r="L49" s="416">
        <f t="shared" si="44"/>
        <v>0</v>
      </c>
      <c r="M49" s="416">
        <f t="shared" si="44"/>
        <v>0</v>
      </c>
      <c r="N49" s="416">
        <f t="shared" si="44"/>
        <v>0</v>
      </c>
      <c r="O49" s="417">
        <f t="shared" si="39"/>
        <v>0</v>
      </c>
    </row>
    <row r="50" spans="2:18" ht="13.5" thickBot="1" x14ac:dyDescent="0.45">
      <c r="B50" s="357" t="s">
        <v>63</v>
      </c>
      <c r="C50" s="419">
        <f>SUM(C44:C49)</f>
        <v>0</v>
      </c>
      <c r="D50" s="419">
        <f t="shared" ref="D50:N50" si="45">SUM(D44:D49)</f>
        <v>0</v>
      </c>
      <c r="E50" s="419">
        <f t="shared" si="45"/>
        <v>0</v>
      </c>
      <c r="F50" s="419">
        <f t="shared" si="45"/>
        <v>0</v>
      </c>
      <c r="G50" s="419">
        <f t="shared" si="45"/>
        <v>0</v>
      </c>
      <c r="H50" s="419">
        <f t="shared" si="45"/>
        <v>0</v>
      </c>
      <c r="I50" s="419">
        <f t="shared" si="45"/>
        <v>0</v>
      </c>
      <c r="J50" s="419">
        <f t="shared" si="45"/>
        <v>0</v>
      </c>
      <c r="K50" s="419">
        <f t="shared" si="45"/>
        <v>0</v>
      </c>
      <c r="L50" s="419">
        <f t="shared" si="45"/>
        <v>0</v>
      </c>
      <c r="M50" s="419">
        <f t="shared" si="45"/>
        <v>0</v>
      </c>
      <c r="N50" s="419">
        <f t="shared" si="45"/>
        <v>0</v>
      </c>
      <c r="O50" s="420">
        <f>SUM(O44:O49)</f>
        <v>0</v>
      </c>
    </row>
    <row r="52" spans="2:18" ht="17.649999999999999" x14ac:dyDescent="0.5">
      <c r="B52" s="605" t="s">
        <v>66</v>
      </c>
      <c r="C52" s="605"/>
      <c r="D52" s="605"/>
      <c r="E52" s="605"/>
      <c r="F52" s="605"/>
      <c r="G52" s="605"/>
      <c r="H52" s="605"/>
      <c r="I52" s="605"/>
      <c r="J52" s="605"/>
      <c r="K52" s="605"/>
      <c r="L52" s="605"/>
      <c r="M52" s="605"/>
      <c r="N52" s="605"/>
      <c r="O52" s="605"/>
    </row>
    <row r="53" spans="2:18" ht="13.15" thickBot="1" x14ac:dyDescent="0.4"/>
    <row r="54" spans="2:18" ht="15" x14ac:dyDescent="0.4">
      <c r="B54" s="610" t="s">
        <v>46</v>
      </c>
      <c r="C54" s="611"/>
      <c r="D54" s="611"/>
      <c r="E54" s="611"/>
      <c r="F54" s="611"/>
      <c r="G54" s="611"/>
      <c r="H54" s="611"/>
      <c r="I54" s="611"/>
      <c r="J54" s="611"/>
      <c r="K54" s="611"/>
      <c r="L54" s="611"/>
      <c r="M54" s="611"/>
      <c r="N54" s="611"/>
      <c r="O54" s="612"/>
      <c r="Q54" s="613" t="s">
        <v>47</v>
      </c>
      <c r="R54" s="614"/>
    </row>
    <row r="55" spans="2:18" ht="13.5" thickBot="1" x14ac:dyDescent="0.45">
      <c r="B55" s="26" t="s">
        <v>52</v>
      </c>
      <c r="C55" s="25">
        <v>1</v>
      </c>
      <c r="D55" s="25">
        <v>2</v>
      </c>
      <c r="E55" s="25">
        <v>3</v>
      </c>
      <c r="F55" s="25">
        <v>4</v>
      </c>
      <c r="G55" s="25">
        <v>5</v>
      </c>
      <c r="H55" s="25">
        <v>6</v>
      </c>
      <c r="I55" s="25">
        <v>7</v>
      </c>
      <c r="J55" s="25">
        <v>8</v>
      </c>
      <c r="K55" s="25">
        <v>9</v>
      </c>
      <c r="L55" s="25">
        <v>10</v>
      </c>
      <c r="M55" s="25">
        <v>11</v>
      </c>
      <c r="N55" s="25">
        <v>12</v>
      </c>
      <c r="O55" s="24" t="s">
        <v>50</v>
      </c>
      <c r="P55" s="23"/>
      <c r="Q55" s="608" t="s">
        <v>51</v>
      </c>
      <c r="R55" s="609"/>
    </row>
    <row r="56" spans="2:18" ht="13.15" x14ac:dyDescent="0.4">
      <c r="B56" s="146" t="str">
        <f>+B44</f>
        <v>Publicación y Desarrollo de Trabajo completo</v>
      </c>
      <c r="C56" s="457">
        <f>+C34*(1+$U$14)</f>
        <v>0</v>
      </c>
      <c r="D56" s="457">
        <f t="shared" ref="D56:N56" si="46">+D34*(1+$U$14)</f>
        <v>0</v>
      </c>
      <c r="E56" s="457">
        <f t="shared" si="46"/>
        <v>0</v>
      </c>
      <c r="F56" s="457">
        <f t="shared" si="46"/>
        <v>0</v>
      </c>
      <c r="G56" s="457">
        <f t="shared" si="46"/>
        <v>0</v>
      </c>
      <c r="H56" s="457">
        <f t="shared" si="46"/>
        <v>0</v>
      </c>
      <c r="I56" s="457">
        <f t="shared" si="46"/>
        <v>0</v>
      </c>
      <c r="J56" s="457">
        <f t="shared" si="46"/>
        <v>0</v>
      </c>
      <c r="K56" s="457">
        <f t="shared" si="46"/>
        <v>0</v>
      </c>
      <c r="L56" s="457">
        <f t="shared" si="46"/>
        <v>0</v>
      </c>
      <c r="M56" s="457">
        <f t="shared" si="46"/>
        <v>0</v>
      </c>
      <c r="N56" s="457">
        <f t="shared" si="46"/>
        <v>0</v>
      </c>
      <c r="O56" s="369">
        <f>SUM(C56:N56)</f>
        <v>0</v>
      </c>
      <c r="P56" s="178"/>
      <c r="Q56" s="22" t="s">
        <v>52</v>
      </c>
      <c r="R56" s="20" t="s">
        <v>53</v>
      </c>
    </row>
    <row r="57" spans="2:18" x14ac:dyDescent="0.35">
      <c r="B57" s="146" t="str">
        <f t="shared" ref="B57:B62" si="47">+B45</f>
        <v>Denuncias o solicitudes de reembolso</v>
      </c>
      <c r="C57" s="457">
        <f t="shared" ref="C57:N57" si="48">+C35*(1+$U$14)</f>
        <v>0</v>
      </c>
      <c r="D57" s="457">
        <f t="shared" si="48"/>
        <v>0</v>
      </c>
      <c r="E57" s="457">
        <f t="shared" si="48"/>
        <v>0</v>
      </c>
      <c r="F57" s="457">
        <f t="shared" si="48"/>
        <v>0</v>
      </c>
      <c r="G57" s="457">
        <f t="shared" si="48"/>
        <v>0</v>
      </c>
      <c r="H57" s="457">
        <f t="shared" si="48"/>
        <v>0</v>
      </c>
      <c r="I57" s="457">
        <f t="shared" si="48"/>
        <v>0</v>
      </c>
      <c r="J57" s="457">
        <f t="shared" si="48"/>
        <v>0</v>
      </c>
      <c r="K57" s="457">
        <f t="shared" si="48"/>
        <v>0</v>
      </c>
      <c r="L57" s="457">
        <f t="shared" si="48"/>
        <v>0</v>
      </c>
      <c r="M57" s="457">
        <f t="shared" si="48"/>
        <v>0</v>
      </c>
      <c r="N57" s="457">
        <f t="shared" si="48"/>
        <v>0</v>
      </c>
      <c r="O57" s="369">
        <f>SUM(C57:N57)</f>
        <v>0</v>
      </c>
      <c r="P57" s="178"/>
      <c r="Q57" s="387" t="str">
        <f t="shared" ref="Q57:Q62" si="49">B56</f>
        <v>Publicación y Desarrollo de Trabajo completo</v>
      </c>
      <c r="R57" s="388">
        <f>+R35</f>
        <v>70</v>
      </c>
    </row>
    <row r="58" spans="2:18" x14ac:dyDescent="0.35">
      <c r="B58" s="146" t="str">
        <f t="shared" si="47"/>
        <v>Ventas de examenes resueltos</v>
      </c>
      <c r="C58" s="457">
        <f t="shared" ref="C58:N58" si="50">+C36*(1+$U$14)</f>
        <v>0</v>
      </c>
      <c r="D58" s="457">
        <f t="shared" si="50"/>
        <v>0</v>
      </c>
      <c r="E58" s="457">
        <f t="shared" si="50"/>
        <v>0</v>
      </c>
      <c r="F58" s="457">
        <f t="shared" si="50"/>
        <v>0</v>
      </c>
      <c r="G58" s="457">
        <f t="shared" si="50"/>
        <v>0</v>
      </c>
      <c r="H58" s="457">
        <f t="shared" si="50"/>
        <v>0</v>
      </c>
      <c r="I58" s="457">
        <f t="shared" si="50"/>
        <v>0</v>
      </c>
      <c r="J58" s="457">
        <f t="shared" si="50"/>
        <v>0</v>
      </c>
      <c r="K58" s="457">
        <f t="shared" si="50"/>
        <v>0</v>
      </c>
      <c r="L58" s="457">
        <f t="shared" si="50"/>
        <v>0</v>
      </c>
      <c r="M58" s="457">
        <f t="shared" si="50"/>
        <v>0</v>
      </c>
      <c r="N58" s="457">
        <f t="shared" si="50"/>
        <v>0</v>
      </c>
      <c r="O58" s="532">
        <f>SUM(C58:N58)</f>
        <v>0</v>
      </c>
      <c r="P58" s="178"/>
      <c r="Q58" s="387" t="str">
        <f t="shared" si="49"/>
        <v>Denuncias o solicitudes de reembolso</v>
      </c>
      <c r="R58" s="388">
        <f>+R36</f>
        <v>85</v>
      </c>
    </row>
    <row r="59" spans="2:18" x14ac:dyDescent="0.35">
      <c r="B59" s="146">
        <f t="shared" si="47"/>
        <v>0</v>
      </c>
      <c r="C59" s="457">
        <f t="shared" ref="C59:N59" si="51">+C37*(1+$U$14)</f>
        <v>0</v>
      </c>
      <c r="D59" s="457">
        <f t="shared" si="51"/>
        <v>0</v>
      </c>
      <c r="E59" s="457">
        <f t="shared" si="51"/>
        <v>0</v>
      </c>
      <c r="F59" s="457">
        <f t="shared" si="51"/>
        <v>0</v>
      </c>
      <c r="G59" s="457">
        <f t="shared" si="51"/>
        <v>0</v>
      </c>
      <c r="H59" s="457">
        <f t="shared" si="51"/>
        <v>0</v>
      </c>
      <c r="I59" s="457">
        <f t="shared" si="51"/>
        <v>0</v>
      </c>
      <c r="J59" s="457">
        <f t="shared" si="51"/>
        <v>0</v>
      </c>
      <c r="K59" s="457">
        <f t="shared" si="51"/>
        <v>0</v>
      </c>
      <c r="L59" s="457">
        <f t="shared" si="51"/>
        <v>0</v>
      </c>
      <c r="M59" s="457">
        <f t="shared" si="51"/>
        <v>0</v>
      </c>
      <c r="N59" s="457">
        <f t="shared" si="51"/>
        <v>0</v>
      </c>
      <c r="O59" s="369">
        <f t="shared" ref="O59:O61" si="52">1.3*O37</f>
        <v>0</v>
      </c>
      <c r="P59" s="178"/>
      <c r="Q59" s="387" t="str">
        <f t="shared" si="49"/>
        <v>Ventas de examenes resueltos</v>
      </c>
      <c r="R59" s="388">
        <f>+R37</f>
        <v>105</v>
      </c>
    </row>
    <row r="60" spans="2:18" x14ac:dyDescent="0.35">
      <c r="B60" s="146">
        <f t="shared" si="47"/>
        <v>0</v>
      </c>
      <c r="C60" s="457">
        <f t="shared" ref="C60:N60" si="53">+C38*(1+$U$14)</f>
        <v>0</v>
      </c>
      <c r="D60" s="457">
        <f t="shared" si="53"/>
        <v>0</v>
      </c>
      <c r="E60" s="457">
        <f t="shared" si="53"/>
        <v>0</v>
      </c>
      <c r="F60" s="457">
        <f t="shared" si="53"/>
        <v>0</v>
      </c>
      <c r="G60" s="457">
        <f t="shared" si="53"/>
        <v>0</v>
      </c>
      <c r="H60" s="457">
        <f t="shared" si="53"/>
        <v>0</v>
      </c>
      <c r="I60" s="457">
        <f t="shared" si="53"/>
        <v>0</v>
      </c>
      <c r="J60" s="457">
        <f t="shared" si="53"/>
        <v>0</v>
      </c>
      <c r="K60" s="457">
        <f t="shared" si="53"/>
        <v>0</v>
      </c>
      <c r="L60" s="457">
        <f t="shared" si="53"/>
        <v>0</v>
      </c>
      <c r="M60" s="457">
        <f t="shared" si="53"/>
        <v>0</v>
      </c>
      <c r="N60" s="457">
        <f t="shared" si="53"/>
        <v>0</v>
      </c>
      <c r="O60" s="369">
        <f t="shared" si="52"/>
        <v>0</v>
      </c>
      <c r="P60" s="178"/>
      <c r="Q60" s="387">
        <f t="shared" si="49"/>
        <v>0</v>
      </c>
      <c r="R60" s="388">
        <f t="shared" ref="R60:R62" si="54">+R38</f>
        <v>0</v>
      </c>
    </row>
    <row r="61" spans="2:18" x14ac:dyDescent="0.35">
      <c r="B61" s="146">
        <f t="shared" si="47"/>
        <v>0</v>
      </c>
      <c r="C61" s="457">
        <f t="shared" ref="C61:N61" si="55">+C39*(1+$U$14)</f>
        <v>0</v>
      </c>
      <c r="D61" s="457">
        <f t="shared" si="55"/>
        <v>0</v>
      </c>
      <c r="E61" s="457">
        <f t="shared" si="55"/>
        <v>0</v>
      </c>
      <c r="F61" s="457">
        <f t="shared" si="55"/>
        <v>0</v>
      </c>
      <c r="G61" s="457">
        <f t="shared" si="55"/>
        <v>0</v>
      </c>
      <c r="H61" s="457">
        <f t="shared" si="55"/>
        <v>0</v>
      </c>
      <c r="I61" s="457">
        <f t="shared" si="55"/>
        <v>0</v>
      </c>
      <c r="J61" s="457">
        <f t="shared" si="55"/>
        <v>0</v>
      </c>
      <c r="K61" s="457">
        <f t="shared" si="55"/>
        <v>0</v>
      </c>
      <c r="L61" s="457">
        <f t="shared" si="55"/>
        <v>0</v>
      </c>
      <c r="M61" s="457">
        <f t="shared" si="55"/>
        <v>0</v>
      </c>
      <c r="N61" s="457">
        <f t="shared" si="55"/>
        <v>0</v>
      </c>
      <c r="O61" s="369">
        <f t="shared" si="52"/>
        <v>0</v>
      </c>
      <c r="P61" s="178"/>
      <c r="Q61" s="387">
        <f t="shared" si="49"/>
        <v>0</v>
      </c>
      <c r="R61" s="388">
        <f t="shared" si="54"/>
        <v>0</v>
      </c>
    </row>
    <row r="62" spans="2:18" ht="13.5" thickBot="1" x14ac:dyDescent="0.45">
      <c r="B62" s="398" t="str">
        <f t="shared" si="47"/>
        <v>Totales</v>
      </c>
      <c r="C62" s="404">
        <f>SUM(C56:C61)</f>
        <v>0</v>
      </c>
      <c r="D62" s="404">
        <f t="shared" ref="D62:M62" si="56">SUM(D56:D61)</f>
        <v>0</v>
      </c>
      <c r="E62" s="404">
        <f t="shared" si="56"/>
        <v>0</v>
      </c>
      <c r="F62" s="404">
        <f t="shared" si="56"/>
        <v>0</v>
      </c>
      <c r="G62" s="404">
        <f t="shared" si="56"/>
        <v>0</v>
      </c>
      <c r="H62" s="404">
        <f t="shared" si="56"/>
        <v>0</v>
      </c>
      <c r="I62" s="404">
        <f>SUM(I56:I61)</f>
        <v>0</v>
      </c>
      <c r="J62" s="404">
        <f t="shared" si="56"/>
        <v>0</v>
      </c>
      <c r="K62" s="404">
        <f t="shared" si="56"/>
        <v>0</v>
      </c>
      <c r="L62" s="404">
        <f t="shared" si="56"/>
        <v>0</v>
      </c>
      <c r="M62" s="404">
        <f t="shared" si="56"/>
        <v>0</v>
      </c>
      <c r="N62" s="404">
        <f>SUM(N56:N61)</f>
        <v>0</v>
      </c>
      <c r="O62" s="397">
        <f>SUM(C62:N62)</f>
        <v>0</v>
      </c>
      <c r="P62" s="178"/>
      <c r="Q62" s="389">
        <f t="shared" si="49"/>
        <v>0</v>
      </c>
      <c r="R62" s="390">
        <f t="shared" si="54"/>
        <v>0</v>
      </c>
    </row>
    <row r="63" spans="2:18" ht="13.15" thickBot="1" x14ac:dyDescent="0.4"/>
    <row r="64" spans="2:18" ht="13.5" thickBot="1" x14ac:dyDescent="0.45">
      <c r="B64" s="615" t="s">
        <v>59</v>
      </c>
      <c r="C64" s="616"/>
      <c r="D64" s="616"/>
      <c r="E64" s="616"/>
      <c r="F64" s="616"/>
      <c r="G64" s="616"/>
      <c r="H64" s="616"/>
      <c r="I64" s="616"/>
      <c r="J64" s="616"/>
      <c r="K64" s="616"/>
      <c r="L64" s="616"/>
      <c r="M64" s="616"/>
      <c r="N64" s="616"/>
      <c r="O64" s="617"/>
    </row>
    <row r="65" spans="2:23" ht="13.15" x14ac:dyDescent="0.4">
      <c r="B65" s="22" t="s">
        <v>52</v>
      </c>
      <c r="C65" s="21">
        <v>1</v>
      </c>
      <c r="D65" s="21">
        <v>2</v>
      </c>
      <c r="E65" s="21">
        <v>3</v>
      </c>
      <c r="F65" s="21">
        <v>4</v>
      </c>
      <c r="G65" s="21">
        <v>5</v>
      </c>
      <c r="H65" s="21">
        <v>6</v>
      </c>
      <c r="I65" s="21">
        <v>7</v>
      </c>
      <c r="J65" s="21">
        <v>8</v>
      </c>
      <c r="K65" s="21">
        <v>9</v>
      </c>
      <c r="L65" s="21">
        <v>10</v>
      </c>
      <c r="M65" s="21">
        <v>11</v>
      </c>
      <c r="N65" s="21">
        <v>12</v>
      </c>
      <c r="O65" s="20" t="s">
        <v>50</v>
      </c>
    </row>
    <row r="66" spans="2:23" x14ac:dyDescent="0.35">
      <c r="B66" s="19" t="str">
        <f t="shared" ref="B66:B71" si="57">+B56</f>
        <v>Publicación y Desarrollo de Trabajo completo</v>
      </c>
      <c r="C66" s="416">
        <f t="shared" ref="C66:N66" si="58">+C56*$R57</f>
        <v>0</v>
      </c>
      <c r="D66" s="416">
        <f>+D56*R57</f>
        <v>0</v>
      </c>
      <c r="E66" s="416">
        <f t="shared" si="58"/>
        <v>0</v>
      </c>
      <c r="F66" s="416">
        <f t="shared" si="58"/>
        <v>0</v>
      </c>
      <c r="G66" s="416">
        <f t="shared" si="58"/>
        <v>0</v>
      </c>
      <c r="H66" s="416">
        <f t="shared" si="58"/>
        <v>0</v>
      </c>
      <c r="I66" s="416">
        <f t="shared" si="58"/>
        <v>0</v>
      </c>
      <c r="J66" s="416">
        <f t="shared" si="58"/>
        <v>0</v>
      </c>
      <c r="K66" s="416">
        <f t="shared" si="58"/>
        <v>0</v>
      </c>
      <c r="L66" s="416">
        <f t="shared" si="58"/>
        <v>0</v>
      </c>
      <c r="M66" s="416">
        <f t="shared" si="58"/>
        <v>0</v>
      </c>
      <c r="N66" s="416">
        <f t="shared" si="58"/>
        <v>0</v>
      </c>
      <c r="O66" s="417">
        <f t="shared" ref="O66:O71" si="59">SUM(C66:N66)</f>
        <v>0</v>
      </c>
    </row>
    <row r="67" spans="2:23" x14ac:dyDescent="0.35">
      <c r="B67" s="19" t="str">
        <f t="shared" si="57"/>
        <v>Denuncias o solicitudes de reembolso</v>
      </c>
      <c r="C67" s="416">
        <f t="shared" ref="C67:N67" si="60">+C57*$R58</f>
        <v>0</v>
      </c>
      <c r="D67" s="416">
        <f t="shared" si="60"/>
        <v>0</v>
      </c>
      <c r="E67" s="416">
        <f t="shared" si="60"/>
        <v>0</v>
      </c>
      <c r="F67" s="416">
        <f t="shared" si="60"/>
        <v>0</v>
      </c>
      <c r="G67" s="416">
        <f t="shared" si="60"/>
        <v>0</v>
      </c>
      <c r="H67" s="416">
        <f t="shared" si="60"/>
        <v>0</v>
      </c>
      <c r="I67" s="416">
        <f t="shared" si="60"/>
        <v>0</v>
      </c>
      <c r="J67" s="416">
        <f t="shared" si="60"/>
        <v>0</v>
      </c>
      <c r="K67" s="416">
        <f t="shared" si="60"/>
        <v>0</v>
      </c>
      <c r="L67" s="416">
        <f t="shared" si="60"/>
        <v>0</v>
      </c>
      <c r="M67" s="416">
        <f t="shared" si="60"/>
        <v>0</v>
      </c>
      <c r="N67" s="416">
        <f t="shared" si="60"/>
        <v>0</v>
      </c>
      <c r="O67" s="417">
        <f t="shared" si="59"/>
        <v>0</v>
      </c>
    </row>
    <row r="68" spans="2:23" x14ac:dyDescent="0.35">
      <c r="B68" s="19" t="str">
        <f t="shared" si="57"/>
        <v>Ventas de examenes resueltos</v>
      </c>
      <c r="C68" s="416">
        <f t="shared" ref="C68:N68" si="61">+C58*$R59</f>
        <v>0</v>
      </c>
      <c r="D68" s="416">
        <f t="shared" si="61"/>
        <v>0</v>
      </c>
      <c r="E68" s="416">
        <f t="shared" si="61"/>
        <v>0</v>
      </c>
      <c r="F68" s="416">
        <f t="shared" si="61"/>
        <v>0</v>
      </c>
      <c r="G68" s="416">
        <f t="shared" si="61"/>
        <v>0</v>
      </c>
      <c r="H68" s="416">
        <f t="shared" si="61"/>
        <v>0</v>
      </c>
      <c r="I68" s="416">
        <f t="shared" si="61"/>
        <v>0</v>
      </c>
      <c r="J68" s="416">
        <f t="shared" si="61"/>
        <v>0</v>
      </c>
      <c r="K68" s="416">
        <f t="shared" si="61"/>
        <v>0</v>
      </c>
      <c r="L68" s="416">
        <f t="shared" si="61"/>
        <v>0</v>
      </c>
      <c r="M68" s="416">
        <f t="shared" si="61"/>
        <v>0</v>
      </c>
      <c r="N68" s="416">
        <f t="shared" si="61"/>
        <v>0</v>
      </c>
      <c r="O68" s="417">
        <f t="shared" si="59"/>
        <v>0</v>
      </c>
    </row>
    <row r="69" spans="2:23" x14ac:dyDescent="0.35">
      <c r="B69" s="19">
        <f t="shared" si="57"/>
        <v>0</v>
      </c>
      <c r="C69" s="416">
        <f t="shared" ref="C69:N69" si="62">+C59*$R60</f>
        <v>0</v>
      </c>
      <c r="D69" s="416">
        <f t="shared" si="62"/>
        <v>0</v>
      </c>
      <c r="E69" s="416">
        <f t="shared" si="62"/>
        <v>0</v>
      </c>
      <c r="F69" s="416">
        <f t="shared" si="62"/>
        <v>0</v>
      </c>
      <c r="G69" s="416">
        <f t="shared" si="62"/>
        <v>0</v>
      </c>
      <c r="H69" s="416">
        <f t="shared" si="62"/>
        <v>0</v>
      </c>
      <c r="I69" s="416">
        <f t="shared" si="62"/>
        <v>0</v>
      </c>
      <c r="J69" s="416">
        <f t="shared" si="62"/>
        <v>0</v>
      </c>
      <c r="K69" s="416">
        <f t="shared" si="62"/>
        <v>0</v>
      </c>
      <c r="L69" s="416">
        <f t="shared" si="62"/>
        <v>0</v>
      </c>
      <c r="M69" s="416">
        <f t="shared" si="62"/>
        <v>0</v>
      </c>
      <c r="N69" s="416">
        <f t="shared" si="62"/>
        <v>0</v>
      </c>
      <c r="O69" s="417">
        <f t="shared" si="59"/>
        <v>0</v>
      </c>
    </row>
    <row r="70" spans="2:23" x14ac:dyDescent="0.35">
      <c r="B70" s="19">
        <f t="shared" si="57"/>
        <v>0</v>
      </c>
      <c r="C70" s="416">
        <f t="shared" ref="C70:N70" si="63">+C60*$R61</f>
        <v>0</v>
      </c>
      <c r="D70" s="416">
        <f t="shared" si="63"/>
        <v>0</v>
      </c>
      <c r="E70" s="416">
        <f t="shared" si="63"/>
        <v>0</v>
      </c>
      <c r="F70" s="416">
        <f t="shared" si="63"/>
        <v>0</v>
      </c>
      <c r="G70" s="416">
        <f t="shared" si="63"/>
        <v>0</v>
      </c>
      <c r="H70" s="416">
        <f t="shared" si="63"/>
        <v>0</v>
      </c>
      <c r="I70" s="416">
        <f t="shared" si="63"/>
        <v>0</v>
      </c>
      <c r="J70" s="416">
        <f t="shared" si="63"/>
        <v>0</v>
      </c>
      <c r="K70" s="416">
        <f t="shared" si="63"/>
        <v>0</v>
      </c>
      <c r="L70" s="416">
        <f t="shared" si="63"/>
        <v>0</v>
      </c>
      <c r="M70" s="416">
        <f t="shared" si="63"/>
        <v>0</v>
      </c>
      <c r="N70" s="416">
        <f t="shared" si="63"/>
        <v>0</v>
      </c>
      <c r="O70" s="417">
        <f t="shared" si="59"/>
        <v>0</v>
      </c>
    </row>
    <row r="71" spans="2:23" x14ac:dyDescent="0.35">
      <c r="B71" s="19">
        <f t="shared" si="57"/>
        <v>0</v>
      </c>
      <c r="C71" s="416">
        <f t="shared" ref="C71:N71" si="64">+C61*$R62</f>
        <v>0</v>
      </c>
      <c r="D71" s="416">
        <f t="shared" si="64"/>
        <v>0</v>
      </c>
      <c r="E71" s="416">
        <f t="shared" si="64"/>
        <v>0</v>
      </c>
      <c r="F71" s="416">
        <f t="shared" si="64"/>
        <v>0</v>
      </c>
      <c r="G71" s="416">
        <f t="shared" si="64"/>
        <v>0</v>
      </c>
      <c r="H71" s="416">
        <f t="shared" si="64"/>
        <v>0</v>
      </c>
      <c r="I71" s="416">
        <f t="shared" si="64"/>
        <v>0</v>
      </c>
      <c r="J71" s="416">
        <f t="shared" si="64"/>
        <v>0</v>
      </c>
      <c r="K71" s="416">
        <f t="shared" si="64"/>
        <v>0</v>
      </c>
      <c r="L71" s="416">
        <f t="shared" si="64"/>
        <v>0</v>
      </c>
      <c r="M71" s="416">
        <f t="shared" si="64"/>
        <v>0</v>
      </c>
      <c r="N71" s="416">
        <f t="shared" si="64"/>
        <v>0</v>
      </c>
      <c r="O71" s="417">
        <f t="shared" si="59"/>
        <v>0</v>
      </c>
    </row>
    <row r="72" spans="2:23" ht="13.5" thickBot="1" x14ac:dyDescent="0.45">
      <c r="B72" s="357" t="s">
        <v>63</v>
      </c>
      <c r="C72" s="419">
        <f>SUM(C66:C71)</f>
        <v>0</v>
      </c>
      <c r="D72" s="419">
        <f t="shared" ref="D72:N72" si="65">SUM(D66:D71)</f>
        <v>0</v>
      </c>
      <c r="E72" s="419">
        <f t="shared" si="65"/>
        <v>0</v>
      </c>
      <c r="F72" s="419">
        <f t="shared" si="65"/>
        <v>0</v>
      </c>
      <c r="G72" s="419">
        <f t="shared" si="65"/>
        <v>0</v>
      </c>
      <c r="H72" s="419">
        <f t="shared" si="65"/>
        <v>0</v>
      </c>
      <c r="I72" s="419">
        <f t="shared" si="65"/>
        <v>0</v>
      </c>
      <c r="J72" s="419">
        <f t="shared" si="65"/>
        <v>0</v>
      </c>
      <c r="K72" s="419">
        <f t="shared" si="65"/>
        <v>0</v>
      </c>
      <c r="L72" s="419">
        <f t="shared" si="65"/>
        <v>0</v>
      </c>
      <c r="M72" s="419">
        <f t="shared" si="65"/>
        <v>0</v>
      </c>
      <c r="N72" s="419">
        <f t="shared" si="65"/>
        <v>0</v>
      </c>
      <c r="O72" s="420">
        <f>SUM(O66:O71)</f>
        <v>0</v>
      </c>
    </row>
    <row r="74" spans="2:23" ht="17.649999999999999" x14ac:dyDescent="0.5">
      <c r="B74" s="605" t="s">
        <v>67</v>
      </c>
      <c r="C74" s="605"/>
      <c r="D74" s="605"/>
      <c r="E74" s="605"/>
      <c r="F74" s="605"/>
      <c r="G74" s="605"/>
      <c r="H74" s="605"/>
      <c r="I74" s="605"/>
      <c r="J74" s="605"/>
      <c r="K74" s="605"/>
      <c r="L74" s="605"/>
      <c r="M74" s="605"/>
      <c r="N74" s="605"/>
      <c r="O74" s="605"/>
    </row>
    <row r="75" spans="2:23" ht="13.15" thickBot="1" x14ac:dyDescent="0.4"/>
    <row r="76" spans="2:23" ht="15" x14ac:dyDescent="0.4">
      <c r="B76" s="610" t="s">
        <v>46</v>
      </c>
      <c r="C76" s="611"/>
      <c r="D76" s="611"/>
      <c r="E76" s="611"/>
      <c r="F76" s="611"/>
      <c r="G76" s="611"/>
      <c r="H76" s="611"/>
      <c r="I76" s="611"/>
      <c r="J76" s="611"/>
      <c r="K76" s="611"/>
      <c r="L76" s="611"/>
      <c r="M76" s="611"/>
      <c r="N76" s="611"/>
      <c r="O76" s="612"/>
      <c r="Q76" s="613" t="s">
        <v>47</v>
      </c>
      <c r="R76" s="614"/>
    </row>
    <row r="77" spans="2:23" ht="13.5" thickBot="1" x14ac:dyDescent="0.45">
      <c r="B77" s="26" t="s">
        <v>52</v>
      </c>
      <c r="C77" s="25">
        <v>1</v>
      </c>
      <c r="D77" s="25">
        <v>2</v>
      </c>
      <c r="E77" s="25">
        <v>3</v>
      </c>
      <c r="F77" s="25">
        <v>4</v>
      </c>
      <c r="G77" s="25">
        <v>5</v>
      </c>
      <c r="H77" s="25">
        <v>6</v>
      </c>
      <c r="I77" s="25">
        <v>7</v>
      </c>
      <c r="J77" s="25">
        <v>8</v>
      </c>
      <c r="K77" s="25">
        <v>9</v>
      </c>
      <c r="L77" s="25">
        <v>10</v>
      </c>
      <c r="M77" s="25">
        <v>11</v>
      </c>
      <c r="N77" s="25">
        <v>12</v>
      </c>
      <c r="O77" s="24" t="s">
        <v>50</v>
      </c>
      <c r="P77" s="23"/>
      <c r="Q77" s="608" t="s">
        <v>51</v>
      </c>
      <c r="R77" s="609"/>
    </row>
    <row r="78" spans="2:23" ht="13.15" x14ac:dyDescent="0.4">
      <c r="B78" s="146" t="str">
        <f>+B56</f>
        <v>Publicación y Desarrollo de Trabajo completo</v>
      </c>
      <c r="C78" s="457">
        <f t="shared" ref="C78:N78" si="66">+C56*(1+$U$15)</f>
        <v>0</v>
      </c>
      <c r="D78" s="457">
        <f t="shared" si="66"/>
        <v>0</v>
      </c>
      <c r="E78" s="457">
        <f t="shared" si="66"/>
        <v>0</v>
      </c>
      <c r="F78" s="457">
        <f t="shared" si="66"/>
        <v>0</v>
      </c>
      <c r="G78" s="457">
        <f t="shared" si="66"/>
        <v>0</v>
      </c>
      <c r="H78" s="457">
        <f t="shared" si="66"/>
        <v>0</v>
      </c>
      <c r="I78" s="457">
        <f t="shared" si="66"/>
        <v>0</v>
      </c>
      <c r="J78" s="457">
        <f t="shared" si="66"/>
        <v>0</v>
      </c>
      <c r="K78" s="457">
        <f t="shared" si="66"/>
        <v>0</v>
      </c>
      <c r="L78" s="457">
        <f t="shared" si="66"/>
        <v>0</v>
      </c>
      <c r="M78" s="457">
        <f t="shared" si="66"/>
        <v>0</v>
      </c>
      <c r="N78" s="457">
        <f t="shared" si="66"/>
        <v>0</v>
      </c>
      <c r="O78" s="369">
        <f>SUM(C78:N78)</f>
        <v>0</v>
      </c>
      <c r="P78" s="178"/>
      <c r="Q78" s="22" t="s">
        <v>52</v>
      </c>
      <c r="R78" s="20" t="s">
        <v>53</v>
      </c>
      <c r="W78" s="2">
        <f>46+4+9+11+6+11</f>
        <v>87</v>
      </c>
    </row>
    <row r="79" spans="2:23" x14ac:dyDescent="0.35">
      <c r="B79" s="146" t="str">
        <f t="shared" ref="B79:B84" si="67">+B57</f>
        <v>Denuncias o solicitudes de reembolso</v>
      </c>
      <c r="C79" s="457">
        <f t="shared" ref="C79:N79" si="68">+C57*(1+$U$15)</f>
        <v>0</v>
      </c>
      <c r="D79" s="457">
        <f t="shared" si="68"/>
        <v>0</v>
      </c>
      <c r="E79" s="457">
        <f t="shared" si="68"/>
        <v>0</v>
      </c>
      <c r="F79" s="457">
        <f t="shared" si="68"/>
        <v>0</v>
      </c>
      <c r="G79" s="457">
        <f t="shared" si="68"/>
        <v>0</v>
      </c>
      <c r="H79" s="457">
        <f t="shared" si="68"/>
        <v>0</v>
      </c>
      <c r="I79" s="457">
        <f t="shared" si="68"/>
        <v>0</v>
      </c>
      <c r="J79" s="457">
        <f t="shared" si="68"/>
        <v>0</v>
      </c>
      <c r="K79" s="457">
        <f t="shared" si="68"/>
        <v>0</v>
      </c>
      <c r="L79" s="457">
        <f t="shared" si="68"/>
        <v>0</v>
      </c>
      <c r="M79" s="457">
        <f t="shared" si="68"/>
        <v>0</v>
      </c>
      <c r="N79" s="457">
        <f t="shared" si="68"/>
        <v>0</v>
      </c>
      <c r="O79" s="369">
        <f>SUM(C79:N79)</f>
        <v>0</v>
      </c>
      <c r="P79" s="178"/>
      <c r="Q79" s="387" t="str">
        <f t="shared" ref="Q79:Q84" si="69">B78</f>
        <v>Publicación y Desarrollo de Trabajo completo</v>
      </c>
      <c r="R79" s="388">
        <f>+R57</f>
        <v>70</v>
      </c>
    </row>
    <row r="80" spans="2:23" x14ac:dyDescent="0.35">
      <c r="B80" s="395" t="str">
        <f t="shared" si="67"/>
        <v>Ventas de examenes resueltos</v>
      </c>
      <c r="C80" s="457">
        <f t="shared" ref="C80:N80" si="70">+C58*(1+$U$15)</f>
        <v>0</v>
      </c>
      <c r="D80" s="457">
        <f t="shared" si="70"/>
        <v>0</v>
      </c>
      <c r="E80" s="457">
        <f t="shared" si="70"/>
        <v>0</v>
      </c>
      <c r="F80" s="457">
        <f t="shared" si="70"/>
        <v>0</v>
      </c>
      <c r="G80" s="457">
        <f t="shared" si="70"/>
        <v>0</v>
      </c>
      <c r="H80" s="457">
        <f t="shared" si="70"/>
        <v>0</v>
      </c>
      <c r="I80" s="457">
        <f t="shared" si="70"/>
        <v>0</v>
      </c>
      <c r="J80" s="457">
        <f t="shared" si="70"/>
        <v>0</v>
      </c>
      <c r="K80" s="457">
        <f t="shared" si="70"/>
        <v>0</v>
      </c>
      <c r="L80" s="457">
        <f t="shared" si="70"/>
        <v>0</v>
      </c>
      <c r="M80" s="457">
        <f t="shared" si="70"/>
        <v>0</v>
      </c>
      <c r="N80" s="457">
        <f t="shared" si="70"/>
        <v>0</v>
      </c>
      <c r="O80" s="369">
        <f>SUM(C80:N80)</f>
        <v>0</v>
      </c>
      <c r="P80" s="178"/>
      <c r="Q80" s="387" t="str">
        <f t="shared" si="69"/>
        <v>Denuncias o solicitudes de reembolso</v>
      </c>
      <c r="R80" s="388">
        <f>+R58</f>
        <v>85</v>
      </c>
    </row>
    <row r="81" spans="2:18" x14ac:dyDescent="0.35">
      <c r="B81" s="64">
        <f t="shared" si="67"/>
        <v>0</v>
      </c>
      <c r="C81" s="457">
        <f t="shared" ref="C81:N81" si="71">+C59*(1+$U$15)</f>
        <v>0</v>
      </c>
      <c r="D81" s="457">
        <f t="shared" si="71"/>
        <v>0</v>
      </c>
      <c r="E81" s="457">
        <f t="shared" si="71"/>
        <v>0</v>
      </c>
      <c r="F81" s="457">
        <f t="shared" si="71"/>
        <v>0</v>
      </c>
      <c r="G81" s="457">
        <f t="shared" si="71"/>
        <v>0</v>
      </c>
      <c r="H81" s="457">
        <f t="shared" si="71"/>
        <v>0</v>
      </c>
      <c r="I81" s="457">
        <f t="shared" si="71"/>
        <v>0</v>
      </c>
      <c r="J81" s="457">
        <f t="shared" si="71"/>
        <v>0</v>
      </c>
      <c r="K81" s="457">
        <f t="shared" si="71"/>
        <v>0</v>
      </c>
      <c r="L81" s="457">
        <f t="shared" si="71"/>
        <v>0</v>
      </c>
      <c r="M81" s="457">
        <f t="shared" si="71"/>
        <v>0</v>
      </c>
      <c r="N81" s="457">
        <f t="shared" si="71"/>
        <v>0</v>
      </c>
      <c r="O81" s="369">
        <f t="shared" ref="O81:O83" si="72">1.3*O59</f>
        <v>0</v>
      </c>
      <c r="P81" s="178"/>
      <c r="Q81" s="387" t="str">
        <f t="shared" si="69"/>
        <v>Ventas de examenes resueltos</v>
      </c>
      <c r="R81" s="388">
        <f>+R59</f>
        <v>105</v>
      </c>
    </row>
    <row r="82" spans="2:18" x14ac:dyDescent="0.35">
      <c r="B82" s="64">
        <f t="shared" si="67"/>
        <v>0</v>
      </c>
      <c r="C82" s="457">
        <f t="shared" ref="C82:N82" si="73">+C60*(1+$U$15)</f>
        <v>0</v>
      </c>
      <c r="D82" s="457">
        <f t="shared" si="73"/>
        <v>0</v>
      </c>
      <c r="E82" s="457">
        <f t="shared" si="73"/>
        <v>0</v>
      </c>
      <c r="F82" s="457">
        <f t="shared" si="73"/>
        <v>0</v>
      </c>
      <c r="G82" s="457">
        <f t="shared" si="73"/>
        <v>0</v>
      </c>
      <c r="H82" s="457">
        <f t="shared" si="73"/>
        <v>0</v>
      </c>
      <c r="I82" s="457">
        <f t="shared" si="73"/>
        <v>0</v>
      </c>
      <c r="J82" s="457">
        <f t="shared" si="73"/>
        <v>0</v>
      </c>
      <c r="K82" s="457">
        <f t="shared" si="73"/>
        <v>0</v>
      </c>
      <c r="L82" s="457">
        <f t="shared" si="73"/>
        <v>0</v>
      </c>
      <c r="M82" s="457">
        <f t="shared" si="73"/>
        <v>0</v>
      </c>
      <c r="N82" s="457">
        <f t="shared" si="73"/>
        <v>0</v>
      </c>
      <c r="O82" s="369">
        <f t="shared" si="72"/>
        <v>0</v>
      </c>
      <c r="P82" s="178"/>
      <c r="Q82" s="387">
        <f t="shared" si="69"/>
        <v>0</v>
      </c>
      <c r="R82" s="388">
        <f t="shared" ref="R82:R84" si="74">+R60</f>
        <v>0</v>
      </c>
    </row>
    <row r="83" spans="2:18" x14ac:dyDescent="0.35">
      <c r="B83" s="64">
        <f t="shared" si="67"/>
        <v>0</v>
      </c>
      <c r="C83" s="457">
        <f t="shared" ref="C83:N83" si="75">+C61*(1+$U$15)</f>
        <v>0</v>
      </c>
      <c r="D83" s="457">
        <f t="shared" si="75"/>
        <v>0</v>
      </c>
      <c r="E83" s="457">
        <f t="shared" si="75"/>
        <v>0</v>
      </c>
      <c r="F83" s="457">
        <f t="shared" si="75"/>
        <v>0</v>
      </c>
      <c r="G83" s="457">
        <f t="shared" si="75"/>
        <v>0</v>
      </c>
      <c r="H83" s="457">
        <f t="shared" si="75"/>
        <v>0</v>
      </c>
      <c r="I83" s="457">
        <f t="shared" si="75"/>
        <v>0</v>
      </c>
      <c r="J83" s="457">
        <f t="shared" si="75"/>
        <v>0</v>
      </c>
      <c r="K83" s="457">
        <f t="shared" si="75"/>
        <v>0</v>
      </c>
      <c r="L83" s="457">
        <f t="shared" si="75"/>
        <v>0</v>
      </c>
      <c r="M83" s="457">
        <f t="shared" si="75"/>
        <v>0</v>
      </c>
      <c r="N83" s="457">
        <f t="shared" si="75"/>
        <v>0</v>
      </c>
      <c r="O83" s="369">
        <f t="shared" si="72"/>
        <v>0</v>
      </c>
      <c r="P83" s="178"/>
      <c r="Q83" s="387">
        <f t="shared" si="69"/>
        <v>0</v>
      </c>
      <c r="R83" s="388">
        <f t="shared" si="74"/>
        <v>0</v>
      </c>
    </row>
    <row r="84" spans="2:18" ht="13.5" thickBot="1" x14ac:dyDescent="0.45">
      <c r="B84" s="396" t="str">
        <f t="shared" si="67"/>
        <v>Totales</v>
      </c>
      <c r="C84" s="404">
        <f>SUM(C78:C83)</f>
        <v>0</v>
      </c>
      <c r="D84" s="404">
        <f t="shared" ref="D84:N84" si="76">SUM(D78:D83)</f>
        <v>0</v>
      </c>
      <c r="E84" s="404">
        <f t="shared" si="76"/>
        <v>0</v>
      </c>
      <c r="F84" s="404">
        <f t="shared" si="76"/>
        <v>0</v>
      </c>
      <c r="G84" s="404">
        <f t="shared" si="76"/>
        <v>0</v>
      </c>
      <c r="H84" s="404">
        <f t="shared" si="76"/>
        <v>0</v>
      </c>
      <c r="I84" s="404">
        <f t="shared" si="76"/>
        <v>0</v>
      </c>
      <c r="J84" s="404">
        <f t="shared" si="76"/>
        <v>0</v>
      </c>
      <c r="K84" s="404">
        <f t="shared" si="76"/>
        <v>0</v>
      </c>
      <c r="L84" s="404">
        <f t="shared" si="76"/>
        <v>0</v>
      </c>
      <c r="M84" s="404">
        <f t="shared" si="76"/>
        <v>0</v>
      </c>
      <c r="N84" s="404">
        <f t="shared" si="76"/>
        <v>0</v>
      </c>
      <c r="O84" s="407">
        <f>SUM(C84:N84)</f>
        <v>0</v>
      </c>
      <c r="P84" s="178"/>
      <c r="Q84" s="389">
        <f t="shared" si="69"/>
        <v>0</v>
      </c>
      <c r="R84" s="390">
        <f t="shared" si="74"/>
        <v>0</v>
      </c>
    </row>
    <row r="85" spans="2:18" ht="13.15" thickBot="1" x14ac:dyDescent="0.4"/>
    <row r="86" spans="2:18" ht="13.5" thickBot="1" x14ac:dyDescent="0.45">
      <c r="B86" s="615" t="s">
        <v>59</v>
      </c>
      <c r="C86" s="616"/>
      <c r="D86" s="616"/>
      <c r="E86" s="616"/>
      <c r="F86" s="616"/>
      <c r="G86" s="616"/>
      <c r="H86" s="616"/>
      <c r="I86" s="616"/>
      <c r="J86" s="616"/>
      <c r="K86" s="616"/>
      <c r="L86" s="616"/>
      <c r="M86" s="616"/>
      <c r="N86" s="616"/>
      <c r="O86" s="617"/>
    </row>
    <row r="87" spans="2:18" ht="13.15" x14ac:dyDescent="0.4">
      <c r="B87" s="22" t="s">
        <v>52</v>
      </c>
      <c r="C87" s="21">
        <v>1</v>
      </c>
      <c r="D87" s="21">
        <v>2</v>
      </c>
      <c r="E87" s="21">
        <v>3</v>
      </c>
      <c r="F87" s="21">
        <v>4</v>
      </c>
      <c r="G87" s="21">
        <v>5</v>
      </c>
      <c r="H87" s="21">
        <v>6</v>
      </c>
      <c r="I87" s="21">
        <v>7</v>
      </c>
      <c r="J87" s="21">
        <v>8</v>
      </c>
      <c r="K87" s="21">
        <v>9</v>
      </c>
      <c r="L87" s="21">
        <v>10</v>
      </c>
      <c r="M87" s="21">
        <v>11</v>
      </c>
      <c r="N87" s="21">
        <v>12</v>
      </c>
      <c r="O87" s="20" t="s">
        <v>50</v>
      </c>
    </row>
    <row r="88" spans="2:18" x14ac:dyDescent="0.35">
      <c r="B88" s="19" t="str">
        <f t="shared" ref="B88:B93" si="77">+B78</f>
        <v>Publicación y Desarrollo de Trabajo completo</v>
      </c>
      <c r="C88" s="416">
        <f t="shared" ref="C88:D93" si="78">+C78*$R79</f>
        <v>0</v>
      </c>
      <c r="D88" s="416">
        <f t="shared" si="78"/>
        <v>0</v>
      </c>
      <c r="E88" s="416">
        <f t="shared" ref="E88:N88" si="79">+E78*$R79</f>
        <v>0</v>
      </c>
      <c r="F88" s="416">
        <f t="shared" si="79"/>
        <v>0</v>
      </c>
      <c r="G88" s="416">
        <f t="shared" si="79"/>
        <v>0</v>
      </c>
      <c r="H88" s="416">
        <f t="shared" si="79"/>
        <v>0</v>
      </c>
      <c r="I88" s="416">
        <f t="shared" si="79"/>
        <v>0</v>
      </c>
      <c r="J88" s="416">
        <f t="shared" si="79"/>
        <v>0</v>
      </c>
      <c r="K88" s="416">
        <f t="shared" si="79"/>
        <v>0</v>
      </c>
      <c r="L88" s="416">
        <f t="shared" si="79"/>
        <v>0</v>
      </c>
      <c r="M88" s="416">
        <f t="shared" si="79"/>
        <v>0</v>
      </c>
      <c r="N88" s="416">
        <f t="shared" si="79"/>
        <v>0</v>
      </c>
      <c r="O88" s="417">
        <f t="shared" ref="O88:O94" si="80">SUM(C88:N88)</f>
        <v>0</v>
      </c>
    </row>
    <row r="89" spans="2:18" x14ac:dyDescent="0.35">
      <c r="B89" s="19" t="str">
        <f t="shared" si="77"/>
        <v>Denuncias o solicitudes de reembolso</v>
      </c>
      <c r="C89" s="416">
        <f t="shared" si="78"/>
        <v>0</v>
      </c>
      <c r="D89" s="416">
        <f t="shared" si="78"/>
        <v>0</v>
      </c>
      <c r="E89" s="416">
        <f t="shared" ref="E89:N89" si="81">+E79*$R80</f>
        <v>0</v>
      </c>
      <c r="F89" s="416">
        <f t="shared" si="81"/>
        <v>0</v>
      </c>
      <c r="G89" s="416">
        <f t="shared" si="81"/>
        <v>0</v>
      </c>
      <c r="H89" s="416">
        <f t="shared" si="81"/>
        <v>0</v>
      </c>
      <c r="I89" s="416">
        <f t="shared" si="81"/>
        <v>0</v>
      </c>
      <c r="J89" s="416">
        <f t="shared" si="81"/>
        <v>0</v>
      </c>
      <c r="K89" s="416">
        <f t="shared" si="81"/>
        <v>0</v>
      </c>
      <c r="L89" s="416">
        <f t="shared" si="81"/>
        <v>0</v>
      </c>
      <c r="M89" s="416">
        <f t="shared" si="81"/>
        <v>0</v>
      </c>
      <c r="N89" s="416">
        <f t="shared" si="81"/>
        <v>0</v>
      </c>
      <c r="O89" s="417">
        <f t="shared" si="80"/>
        <v>0</v>
      </c>
    </row>
    <row r="90" spans="2:18" x14ac:dyDescent="0.35">
      <c r="B90" s="19" t="str">
        <f t="shared" si="77"/>
        <v>Ventas de examenes resueltos</v>
      </c>
      <c r="C90" s="416">
        <f t="shared" si="78"/>
        <v>0</v>
      </c>
      <c r="D90" s="416">
        <f t="shared" si="78"/>
        <v>0</v>
      </c>
      <c r="E90" s="416">
        <f t="shared" ref="E90:N90" si="82">+E80*$R81</f>
        <v>0</v>
      </c>
      <c r="F90" s="416">
        <f t="shared" si="82"/>
        <v>0</v>
      </c>
      <c r="G90" s="416">
        <f t="shared" si="82"/>
        <v>0</v>
      </c>
      <c r="H90" s="416">
        <f t="shared" si="82"/>
        <v>0</v>
      </c>
      <c r="I90" s="416">
        <f t="shared" si="82"/>
        <v>0</v>
      </c>
      <c r="J90" s="416">
        <f t="shared" si="82"/>
        <v>0</v>
      </c>
      <c r="K90" s="416">
        <f t="shared" si="82"/>
        <v>0</v>
      </c>
      <c r="L90" s="416">
        <f t="shared" si="82"/>
        <v>0</v>
      </c>
      <c r="M90" s="416">
        <f t="shared" si="82"/>
        <v>0</v>
      </c>
      <c r="N90" s="416">
        <f t="shared" si="82"/>
        <v>0</v>
      </c>
      <c r="O90" s="417">
        <f t="shared" si="80"/>
        <v>0</v>
      </c>
    </row>
    <row r="91" spans="2:18" x14ac:dyDescent="0.35">
      <c r="B91" s="19">
        <f t="shared" si="77"/>
        <v>0</v>
      </c>
      <c r="C91" s="416">
        <f t="shared" si="78"/>
        <v>0</v>
      </c>
      <c r="D91" s="416">
        <f t="shared" si="78"/>
        <v>0</v>
      </c>
      <c r="E91" s="416">
        <f t="shared" ref="E91:N91" si="83">+E81*$R82</f>
        <v>0</v>
      </c>
      <c r="F91" s="416">
        <f t="shared" si="83"/>
        <v>0</v>
      </c>
      <c r="G91" s="416">
        <f t="shared" si="83"/>
        <v>0</v>
      </c>
      <c r="H91" s="416">
        <f t="shared" si="83"/>
        <v>0</v>
      </c>
      <c r="I91" s="416">
        <f t="shared" si="83"/>
        <v>0</v>
      </c>
      <c r="J91" s="416">
        <f t="shared" si="83"/>
        <v>0</v>
      </c>
      <c r="K91" s="416">
        <f t="shared" si="83"/>
        <v>0</v>
      </c>
      <c r="L91" s="416">
        <f t="shared" si="83"/>
        <v>0</v>
      </c>
      <c r="M91" s="416">
        <f t="shared" si="83"/>
        <v>0</v>
      </c>
      <c r="N91" s="416">
        <f t="shared" si="83"/>
        <v>0</v>
      </c>
      <c r="O91" s="418">
        <f t="shared" si="80"/>
        <v>0</v>
      </c>
    </row>
    <row r="92" spans="2:18" x14ac:dyDescent="0.35">
      <c r="B92" s="19">
        <f t="shared" si="77"/>
        <v>0</v>
      </c>
      <c r="C92" s="416">
        <f t="shared" si="78"/>
        <v>0</v>
      </c>
      <c r="D92" s="416">
        <f t="shared" si="78"/>
        <v>0</v>
      </c>
      <c r="E92" s="416">
        <f t="shared" ref="E92:N92" si="84">+E82*$R83</f>
        <v>0</v>
      </c>
      <c r="F92" s="416">
        <f t="shared" si="84"/>
        <v>0</v>
      </c>
      <c r="G92" s="416">
        <f t="shared" si="84"/>
        <v>0</v>
      </c>
      <c r="H92" s="416">
        <f t="shared" si="84"/>
        <v>0</v>
      </c>
      <c r="I92" s="416">
        <f t="shared" si="84"/>
        <v>0</v>
      </c>
      <c r="J92" s="416">
        <f t="shared" si="84"/>
        <v>0</v>
      </c>
      <c r="K92" s="416">
        <f t="shared" si="84"/>
        <v>0</v>
      </c>
      <c r="L92" s="416">
        <f t="shared" si="84"/>
        <v>0</v>
      </c>
      <c r="M92" s="416">
        <f t="shared" si="84"/>
        <v>0</v>
      </c>
      <c r="N92" s="416">
        <f t="shared" si="84"/>
        <v>0</v>
      </c>
      <c r="O92" s="418">
        <f t="shared" si="80"/>
        <v>0</v>
      </c>
    </row>
    <row r="93" spans="2:18" x14ac:dyDescent="0.35">
      <c r="B93" s="19">
        <f t="shared" si="77"/>
        <v>0</v>
      </c>
      <c r="C93" s="416">
        <f t="shared" si="78"/>
        <v>0</v>
      </c>
      <c r="D93" s="416">
        <f t="shared" si="78"/>
        <v>0</v>
      </c>
      <c r="E93" s="416">
        <f t="shared" ref="E93:N93" si="85">+E83*$R84</f>
        <v>0</v>
      </c>
      <c r="F93" s="416">
        <f t="shared" si="85"/>
        <v>0</v>
      </c>
      <c r="G93" s="416">
        <f t="shared" si="85"/>
        <v>0</v>
      </c>
      <c r="H93" s="416">
        <f t="shared" si="85"/>
        <v>0</v>
      </c>
      <c r="I93" s="416">
        <f t="shared" si="85"/>
        <v>0</v>
      </c>
      <c r="J93" s="416">
        <f t="shared" si="85"/>
        <v>0</v>
      </c>
      <c r="K93" s="416">
        <f t="shared" si="85"/>
        <v>0</v>
      </c>
      <c r="L93" s="416">
        <f t="shared" si="85"/>
        <v>0</v>
      </c>
      <c r="M93" s="416">
        <f t="shared" si="85"/>
        <v>0</v>
      </c>
      <c r="N93" s="416">
        <f t="shared" si="85"/>
        <v>0</v>
      </c>
      <c r="O93" s="418">
        <f t="shared" si="80"/>
        <v>0</v>
      </c>
    </row>
    <row r="94" spans="2:18" ht="13.5" thickBot="1" x14ac:dyDescent="0.45">
      <c r="B94" s="357" t="s">
        <v>63</v>
      </c>
      <c r="C94" s="419">
        <f>SUM(C88:C93)</f>
        <v>0</v>
      </c>
      <c r="D94" s="419">
        <f t="shared" ref="D94:N94" si="86">SUM(D88:D93)</f>
        <v>0</v>
      </c>
      <c r="E94" s="419">
        <f t="shared" si="86"/>
        <v>0</v>
      </c>
      <c r="F94" s="419">
        <f t="shared" si="86"/>
        <v>0</v>
      </c>
      <c r="G94" s="419">
        <f t="shared" si="86"/>
        <v>0</v>
      </c>
      <c r="H94" s="419">
        <f t="shared" si="86"/>
        <v>0</v>
      </c>
      <c r="I94" s="419">
        <f t="shared" si="86"/>
        <v>0</v>
      </c>
      <c r="J94" s="419">
        <f t="shared" si="86"/>
        <v>0</v>
      </c>
      <c r="K94" s="419">
        <f t="shared" si="86"/>
        <v>0</v>
      </c>
      <c r="L94" s="419">
        <f t="shared" si="86"/>
        <v>0</v>
      </c>
      <c r="M94" s="419">
        <f t="shared" si="86"/>
        <v>0</v>
      </c>
      <c r="N94" s="419">
        <f t="shared" si="86"/>
        <v>0</v>
      </c>
      <c r="O94" s="420">
        <f t="shared" si="80"/>
        <v>0</v>
      </c>
    </row>
    <row r="96" spans="2:18" ht="17.649999999999999" x14ac:dyDescent="0.5">
      <c r="B96" s="605" t="s">
        <v>68</v>
      </c>
      <c r="C96" s="605"/>
      <c r="D96" s="605"/>
      <c r="E96" s="605"/>
      <c r="F96" s="605"/>
      <c r="G96" s="605"/>
      <c r="H96" s="605"/>
      <c r="I96" s="605"/>
      <c r="J96" s="605"/>
      <c r="K96" s="605"/>
      <c r="L96" s="605"/>
      <c r="M96" s="605"/>
      <c r="N96" s="605"/>
      <c r="O96" s="605"/>
    </row>
    <row r="97" spans="2:18" ht="13.15" thickBot="1" x14ac:dyDescent="0.4"/>
    <row r="98" spans="2:18" ht="15" x14ac:dyDescent="0.4">
      <c r="B98" s="610" t="s">
        <v>46</v>
      </c>
      <c r="C98" s="611"/>
      <c r="D98" s="611"/>
      <c r="E98" s="611"/>
      <c r="F98" s="611"/>
      <c r="G98" s="611"/>
      <c r="H98" s="611"/>
      <c r="I98" s="611"/>
      <c r="J98" s="611"/>
      <c r="K98" s="611"/>
      <c r="L98" s="611"/>
      <c r="M98" s="611"/>
      <c r="N98" s="611"/>
      <c r="O98" s="612"/>
      <c r="Q98" s="613" t="s">
        <v>47</v>
      </c>
      <c r="R98" s="614"/>
    </row>
    <row r="99" spans="2:18" ht="13.5" thickBot="1" x14ac:dyDescent="0.45">
      <c r="B99" s="26" t="s">
        <v>52</v>
      </c>
      <c r="C99" s="25">
        <v>1</v>
      </c>
      <c r="D99" s="25">
        <v>2</v>
      </c>
      <c r="E99" s="25">
        <v>3</v>
      </c>
      <c r="F99" s="25">
        <v>4</v>
      </c>
      <c r="G99" s="25">
        <v>5</v>
      </c>
      <c r="H99" s="25">
        <v>6</v>
      </c>
      <c r="I99" s="25">
        <v>7</v>
      </c>
      <c r="J99" s="25">
        <v>8</v>
      </c>
      <c r="K99" s="25">
        <v>9</v>
      </c>
      <c r="L99" s="25">
        <v>10</v>
      </c>
      <c r="M99" s="25">
        <v>11</v>
      </c>
      <c r="N99" s="25">
        <v>12</v>
      </c>
      <c r="O99" s="24" t="s">
        <v>50</v>
      </c>
      <c r="P99" s="23"/>
      <c r="Q99" s="608" t="s">
        <v>51</v>
      </c>
      <c r="R99" s="609"/>
    </row>
    <row r="100" spans="2:18" ht="13.15" x14ac:dyDescent="0.4">
      <c r="B100" s="146" t="str">
        <f t="shared" ref="B100:B106" si="87">+B88</f>
        <v>Publicación y Desarrollo de Trabajo completo</v>
      </c>
      <c r="C100" s="457">
        <f t="shared" ref="C100:N100" si="88">+C78*(1+$U$16)</f>
        <v>0</v>
      </c>
      <c r="D100" s="457">
        <f t="shared" si="88"/>
        <v>0</v>
      </c>
      <c r="E100" s="457">
        <f t="shared" si="88"/>
        <v>0</v>
      </c>
      <c r="F100" s="457">
        <f t="shared" si="88"/>
        <v>0</v>
      </c>
      <c r="G100" s="457">
        <f t="shared" si="88"/>
        <v>0</v>
      </c>
      <c r="H100" s="457">
        <f t="shared" si="88"/>
        <v>0</v>
      </c>
      <c r="I100" s="457">
        <f t="shared" si="88"/>
        <v>0</v>
      </c>
      <c r="J100" s="457">
        <f t="shared" si="88"/>
        <v>0</v>
      </c>
      <c r="K100" s="457">
        <f t="shared" si="88"/>
        <v>0</v>
      </c>
      <c r="L100" s="457">
        <f t="shared" si="88"/>
        <v>0</v>
      </c>
      <c r="M100" s="457">
        <f t="shared" si="88"/>
        <v>0</v>
      </c>
      <c r="N100" s="457">
        <f t="shared" si="88"/>
        <v>0</v>
      </c>
      <c r="O100" s="369">
        <f>SUM(C100:N100)</f>
        <v>0</v>
      </c>
      <c r="P100" s="178"/>
      <c r="Q100" s="22" t="s">
        <v>52</v>
      </c>
      <c r="R100" s="20" t="s">
        <v>53</v>
      </c>
    </row>
    <row r="101" spans="2:18" x14ac:dyDescent="0.35">
      <c r="B101" s="146" t="str">
        <f t="shared" si="87"/>
        <v>Denuncias o solicitudes de reembolso</v>
      </c>
      <c r="C101" s="457">
        <f t="shared" ref="C101:N101" si="89">+C79*(1+$U$16)</f>
        <v>0</v>
      </c>
      <c r="D101" s="457">
        <f t="shared" si="89"/>
        <v>0</v>
      </c>
      <c r="E101" s="457">
        <f t="shared" si="89"/>
        <v>0</v>
      </c>
      <c r="F101" s="457">
        <f t="shared" si="89"/>
        <v>0</v>
      </c>
      <c r="G101" s="457">
        <f t="shared" si="89"/>
        <v>0</v>
      </c>
      <c r="H101" s="457">
        <f t="shared" si="89"/>
        <v>0</v>
      </c>
      <c r="I101" s="457">
        <f t="shared" si="89"/>
        <v>0</v>
      </c>
      <c r="J101" s="457">
        <f t="shared" si="89"/>
        <v>0</v>
      </c>
      <c r="K101" s="457">
        <f t="shared" si="89"/>
        <v>0</v>
      </c>
      <c r="L101" s="457">
        <f t="shared" si="89"/>
        <v>0</v>
      </c>
      <c r="M101" s="457">
        <f t="shared" si="89"/>
        <v>0</v>
      </c>
      <c r="N101" s="457">
        <f t="shared" si="89"/>
        <v>0</v>
      </c>
      <c r="O101" s="369">
        <f>SUM(C101:N101)</f>
        <v>0</v>
      </c>
      <c r="P101" s="178"/>
      <c r="Q101" s="387" t="str">
        <f t="shared" ref="Q101:Q106" si="90">B100</f>
        <v>Publicación y Desarrollo de Trabajo completo</v>
      </c>
      <c r="R101" s="388">
        <f>+R79</f>
        <v>70</v>
      </c>
    </row>
    <row r="102" spans="2:18" x14ac:dyDescent="0.35">
      <c r="B102" s="395" t="str">
        <f t="shared" si="87"/>
        <v>Ventas de examenes resueltos</v>
      </c>
      <c r="C102" s="457">
        <f t="shared" ref="C102:N102" si="91">+C80*(1+$U$16)</f>
        <v>0</v>
      </c>
      <c r="D102" s="457">
        <f t="shared" si="91"/>
        <v>0</v>
      </c>
      <c r="E102" s="457">
        <f t="shared" si="91"/>
        <v>0</v>
      </c>
      <c r="F102" s="457">
        <f t="shared" si="91"/>
        <v>0</v>
      </c>
      <c r="G102" s="457">
        <f t="shared" si="91"/>
        <v>0</v>
      </c>
      <c r="H102" s="457">
        <f t="shared" si="91"/>
        <v>0</v>
      </c>
      <c r="I102" s="457">
        <f t="shared" si="91"/>
        <v>0</v>
      </c>
      <c r="J102" s="457">
        <f t="shared" si="91"/>
        <v>0</v>
      </c>
      <c r="K102" s="457">
        <f t="shared" si="91"/>
        <v>0</v>
      </c>
      <c r="L102" s="457">
        <f t="shared" si="91"/>
        <v>0</v>
      </c>
      <c r="M102" s="457">
        <f t="shared" si="91"/>
        <v>0</v>
      </c>
      <c r="N102" s="457">
        <f t="shared" si="91"/>
        <v>0</v>
      </c>
      <c r="O102" s="369">
        <f>SUM(C102:N102)</f>
        <v>0</v>
      </c>
      <c r="P102" s="178"/>
      <c r="Q102" s="387" t="str">
        <f t="shared" si="90"/>
        <v>Denuncias o solicitudes de reembolso</v>
      </c>
      <c r="R102" s="388">
        <f>+R80</f>
        <v>85</v>
      </c>
    </row>
    <row r="103" spans="2:18" x14ac:dyDescent="0.35">
      <c r="B103" s="64">
        <f t="shared" si="87"/>
        <v>0</v>
      </c>
      <c r="C103" s="457">
        <f t="shared" ref="C103:N103" si="92">+C81*(1+$U$16)</f>
        <v>0</v>
      </c>
      <c r="D103" s="457">
        <f t="shared" si="92"/>
        <v>0</v>
      </c>
      <c r="E103" s="457">
        <f t="shared" si="92"/>
        <v>0</v>
      </c>
      <c r="F103" s="457">
        <f t="shared" si="92"/>
        <v>0</v>
      </c>
      <c r="G103" s="457">
        <f t="shared" si="92"/>
        <v>0</v>
      </c>
      <c r="H103" s="457">
        <f t="shared" si="92"/>
        <v>0</v>
      </c>
      <c r="I103" s="457">
        <f t="shared" si="92"/>
        <v>0</v>
      </c>
      <c r="J103" s="457">
        <f t="shared" si="92"/>
        <v>0</v>
      </c>
      <c r="K103" s="457">
        <f t="shared" si="92"/>
        <v>0</v>
      </c>
      <c r="L103" s="457">
        <f t="shared" si="92"/>
        <v>0</v>
      </c>
      <c r="M103" s="457">
        <f t="shared" si="92"/>
        <v>0</v>
      </c>
      <c r="N103" s="457">
        <f t="shared" si="92"/>
        <v>0</v>
      </c>
      <c r="O103" s="369">
        <f t="shared" ref="O103:O105" si="93">1.4*O81</f>
        <v>0</v>
      </c>
      <c r="P103" s="178"/>
      <c r="Q103" s="387" t="str">
        <f t="shared" si="90"/>
        <v>Ventas de examenes resueltos</v>
      </c>
      <c r="R103" s="388">
        <f>+R81</f>
        <v>105</v>
      </c>
    </row>
    <row r="104" spans="2:18" x14ac:dyDescent="0.35">
      <c r="B104" s="64">
        <f t="shared" si="87"/>
        <v>0</v>
      </c>
      <c r="C104" s="457">
        <f t="shared" ref="C104:N104" si="94">+C82*(1+$U$16)</f>
        <v>0</v>
      </c>
      <c r="D104" s="457">
        <f t="shared" si="94"/>
        <v>0</v>
      </c>
      <c r="E104" s="457">
        <f t="shared" si="94"/>
        <v>0</v>
      </c>
      <c r="F104" s="457">
        <f t="shared" si="94"/>
        <v>0</v>
      </c>
      <c r="G104" s="457">
        <f t="shared" si="94"/>
        <v>0</v>
      </c>
      <c r="H104" s="457">
        <f t="shared" si="94"/>
        <v>0</v>
      </c>
      <c r="I104" s="457">
        <f t="shared" si="94"/>
        <v>0</v>
      </c>
      <c r="J104" s="457">
        <f t="shared" si="94"/>
        <v>0</v>
      </c>
      <c r="K104" s="457">
        <f t="shared" si="94"/>
        <v>0</v>
      </c>
      <c r="L104" s="457">
        <f t="shared" si="94"/>
        <v>0</v>
      </c>
      <c r="M104" s="457">
        <f t="shared" si="94"/>
        <v>0</v>
      </c>
      <c r="N104" s="457">
        <f t="shared" si="94"/>
        <v>0</v>
      </c>
      <c r="O104" s="369">
        <f t="shared" si="93"/>
        <v>0</v>
      </c>
      <c r="P104" s="178"/>
      <c r="Q104" s="387">
        <f t="shared" si="90"/>
        <v>0</v>
      </c>
      <c r="R104" s="388">
        <f t="shared" ref="R104:R106" si="95">+R82</f>
        <v>0</v>
      </c>
    </row>
    <row r="105" spans="2:18" x14ac:dyDescent="0.35">
      <c r="B105" s="64">
        <f t="shared" si="87"/>
        <v>0</v>
      </c>
      <c r="C105" s="457">
        <f t="shared" ref="C105:N105" si="96">+C83*(1+$U$16)</f>
        <v>0</v>
      </c>
      <c r="D105" s="457">
        <f t="shared" si="96"/>
        <v>0</v>
      </c>
      <c r="E105" s="457">
        <f t="shared" si="96"/>
        <v>0</v>
      </c>
      <c r="F105" s="457">
        <f t="shared" si="96"/>
        <v>0</v>
      </c>
      <c r="G105" s="457">
        <f t="shared" si="96"/>
        <v>0</v>
      </c>
      <c r="H105" s="457">
        <f t="shared" si="96"/>
        <v>0</v>
      </c>
      <c r="I105" s="457">
        <f t="shared" si="96"/>
        <v>0</v>
      </c>
      <c r="J105" s="457">
        <f t="shared" si="96"/>
        <v>0</v>
      </c>
      <c r="K105" s="457">
        <f t="shared" si="96"/>
        <v>0</v>
      </c>
      <c r="L105" s="457">
        <f t="shared" si="96"/>
        <v>0</v>
      </c>
      <c r="M105" s="457">
        <f t="shared" si="96"/>
        <v>0</v>
      </c>
      <c r="N105" s="457">
        <f t="shared" si="96"/>
        <v>0</v>
      </c>
      <c r="O105" s="369">
        <f t="shared" si="93"/>
        <v>0</v>
      </c>
      <c r="P105" s="178"/>
      <c r="Q105" s="387">
        <f t="shared" si="90"/>
        <v>0</v>
      </c>
      <c r="R105" s="388">
        <f t="shared" si="95"/>
        <v>0</v>
      </c>
    </row>
    <row r="106" spans="2:18" ht="13.5" thickBot="1" x14ac:dyDescent="0.45">
      <c r="B106" s="396" t="str">
        <f t="shared" si="87"/>
        <v>Totales</v>
      </c>
      <c r="C106" s="406">
        <f>SUM(C100:C105)</f>
        <v>0</v>
      </c>
      <c r="D106" s="406">
        <f t="shared" ref="D106:N106" si="97">SUM(D100:D105)</f>
        <v>0</v>
      </c>
      <c r="E106" s="406">
        <f t="shared" si="97"/>
        <v>0</v>
      </c>
      <c r="F106" s="406">
        <f t="shared" si="97"/>
        <v>0</v>
      </c>
      <c r="G106" s="406">
        <f t="shared" si="97"/>
        <v>0</v>
      </c>
      <c r="H106" s="406">
        <f t="shared" si="97"/>
        <v>0</v>
      </c>
      <c r="I106" s="406">
        <f t="shared" si="97"/>
        <v>0</v>
      </c>
      <c r="J106" s="406">
        <f t="shared" si="97"/>
        <v>0</v>
      </c>
      <c r="K106" s="406">
        <f t="shared" si="97"/>
        <v>0</v>
      </c>
      <c r="L106" s="406">
        <f t="shared" si="97"/>
        <v>0</v>
      </c>
      <c r="M106" s="406">
        <f t="shared" si="97"/>
        <v>0</v>
      </c>
      <c r="N106" s="406">
        <f t="shared" si="97"/>
        <v>0</v>
      </c>
      <c r="O106" s="397">
        <f>SUM(C106:N106)</f>
        <v>0</v>
      </c>
      <c r="P106" s="178"/>
      <c r="Q106" s="389">
        <f t="shared" si="90"/>
        <v>0</v>
      </c>
      <c r="R106" s="390">
        <f t="shared" si="95"/>
        <v>0</v>
      </c>
    </row>
    <row r="107" spans="2:18" ht="13.15" thickBot="1" x14ac:dyDescent="0.4">
      <c r="O107" s="394"/>
      <c r="Q107" s="94"/>
      <c r="R107" s="94"/>
    </row>
    <row r="108" spans="2:18" ht="13.5" thickBot="1" x14ac:dyDescent="0.45">
      <c r="B108" s="615" t="s">
        <v>59</v>
      </c>
      <c r="C108" s="616"/>
      <c r="D108" s="616"/>
      <c r="E108" s="616"/>
      <c r="F108" s="616"/>
      <c r="G108" s="616"/>
      <c r="H108" s="616"/>
      <c r="I108" s="616"/>
      <c r="J108" s="616"/>
      <c r="K108" s="616"/>
      <c r="L108" s="616"/>
      <c r="M108" s="616"/>
      <c r="N108" s="616"/>
      <c r="O108" s="617"/>
      <c r="Q108" s="94"/>
      <c r="R108" s="94"/>
    </row>
    <row r="109" spans="2:18" ht="13.15" x14ac:dyDescent="0.4">
      <c r="B109" s="22" t="s">
        <v>52</v>
      </c>
      <c r="C109" s="21">
        <v>1</v>
      </c>
      <c r="D109" s="21">
        <v>2</v>
      </c>
      <c r="E109" s="21">
        <v>3</v>
      </c>
      <c r="F109" s="21">
        <v>4</v>
      </c>
      <c r="G109" s="21">
        <v>5</v>
      </c>
      <c r="H109" s="21">
        <v>6</v>
      </c>
      <c r="I109" s="21">
        <v>7</v>
      </c>
      <c r="J109" s="21">
        <v>8</v>
      </c>
      <c r="K109" s="21">
        <v>9</v>
      </c>
      <c r="L109" s="21">
        <v>10</v>
      </c>
      <c r="M109" s="21">
        <v>11</v>
      </c>
      <c r="N109" s="21">
        <v>12</v>
      </c>
      <c r="O109" s="20" t="s">
        <v>50</v>
      </c>
      <c r="Q109" s="94"/>
      <c r="R109" s="94"/>
    </row>
    <row r="110" spans="2:18" x14ac:dyDescent="0.35">
      <c r="B110" s="19" t="str">
        <f t="shared" ref="B110:B115" si="98">+B100</f>
        <v>Publicación y Desarrollo de Trabajo completo</v>
      </c>
      <c r="C110" s="414">
        <f t="shared" ref="C110:N110" si="99">+C100*$R101</f>
        <v>0</v>
      </c>
      <c r="D110" s="414">
        <f t="shared" si="99"/>
        <v>0</v>
      </c>
      <c r="E110" s="414">
        <f t="shared" si="99"/>
        <v>0</v>
      </c>
      <c r="F110" s="414">
        <f t="shared" si="99"/>
        <v>0</v>
      </c>
      <c r="G110" s="414">
        <f t="shared" si="99"/>
        <v>0</v>
      </c>
      <c r="H110" s="414">
        <f t="shared" si="99"/>
        <v>0</v>
      </c>
      <c r="I110" s="414">
        <f t="shared" si="99"/>
        <v>0</v>
      </c>
      <c r="J110" s="414">
        <f t="shared" si="99"/>
        <v>0</v>
      </c>
      <c r="K110" s="414">
        <f t="shared" si="99"/>
        <v>0</v>
      </c>
      <c r="L110" s="414">
        <f t="shared" si="99"/>
        <v>0</v>
      </c>
      <c r="M110" s="414">
        <f t="shared" si="99"/>
        <v>0</v>
      </c>
      <c r="N110" s="414">
        <f t="shared" si="99"/>
        <v>0</v>
      </c>
      <c r="O110" s="414">
        <f t="shared" ref="O110:O116" si="100">SUM(C110:N110)</f>
        <v>0</v>
      </c>
      <c r="Q110" s="94"/>
      <c r="R110" s="94"/>
    </row>
    <row r="111" spans="2:18" x14ac:dyDescent="0.35">
      <c r="B111" s="19" t="str">
        <f t="shared" si="98"/>
        <v>Denuncias o solicitudes de reembolso</v>
      </c>
      <c r="C111" s="414">
        <f t="shared" ref="C111:N111" si="101">+C101*$R102</f>
        <v>0</v>
      </c>
      <c r="D111" s="414">
        <f t="shared" si="101"/>
        <v>0</v>
      </c>
      <c r="E111" s="414">
        <f t="shared" si="101"/>
        <v>0</v>
      </c>
      <c r="F111" s="414">
        <f t="shared" si="101"/>
        <v>0</v>
      </c>
      <c r="G111" s="414">
        <f t="shared" si="101"/>
        <v>0</v>
      </c>
      <c r="H111" s="414">
        <f t="shared" si="101"/>
        <v>0</v>
      </c>
      <c r="I111" s="414">
        <f t="shared" si="101"/>
        <v>0</v>
      </c>
      <c r="J111" s="414">
        <f t="shared" si="101"/>
        <v>0</v>
      </c>
      <c r="K111" s="414">
        <f t="shared" si="101"/>
        <v>0</v>
      </c>
      <c r="L111" s="414">
        <f t="shared" si="101"/>
        <v>0</v>
      </c>
      <c r="M111" s="414">
        <f t="shared" si="101"/>
        <v>0</v>
      </c>
      <c r="N111" s="414">
        <f t="shared" si="101"/>
        <v>0</v>
      </c>
      <c r="O111" s="414">
        <f t="shared" si="100"/>
        <v>0</v>
      </c>
    </row>
    <row r="112" spans="2:18" x14ac:dyDescent="0.35">
      <c r="B112" s="19" t="str">
        <f t="shared" si="98"/>
        <v>Ventas de examenes resueltos</v>
      </c>
      <c r="C112" s="414">
        <f t="shared" ref="C112:N112" si="102">+C102*$R103</f>
        <v>0</v>
      </c>
      <c r="D112" s="414">
        <f t="shared" si="102"/>
        <v>0</v>
      </c>
      <c r="E112" s="414">
        <f t="shared" si="102"/>
        <v>0</v>
      </c>
      <c r="F112" s="414">
        <f t="shared" si="102"/>
        <v>0</v>
      </c>
      <c r="G112" s="414">
        <f t="shared" si="102"/>
        <v>0</v>
      </c>
      <c r="H112" s="414">
        <f t="shared" si="102"/>
        <v>0</v>
      </c>
      <c r="I112" s="414">
        <f t="shared" si="102"/>
        <v>0</v>
      </c>
      <c r="J112" s="414">
        <f t="shared" si="102"/>
        <v>0</v>
      </c>
      <c r="K112" s="414">
        <f t="shared" si="102"/>
        <v>0</v>
      </c>
      <c r="L112" s="414">
        <f t="shared" si="102"/>
        <v>0</v>
      </c>
      <c r="M112" s="414">
        <f t="shared" si="102"/>
        <v>0</v>
      </c>
      <c r="N112" s="414">
        <f t="shared" si="102"/>
        <v>0</v>
      </c>
      <c r="O112" s="414">
        <f t="shared" si="100"/>
        <v>0</v>
      </c>
    </row>
    <row r="113" spans="2:18" x14ac:dyDescent="0.35">
      <c r="B113" s="19">
        <f t="shared" si="98"/>
        <v>0</v>
      </c>
      <c r="C113" s="414">
        <f t="shared" ref="C113:N113" si="103">+C103*$R104</f>
        <v>0</v>
      </c>
      <c r="D113" s="414">
        <f t="shared" si="103"/>
        <v>0</v>
      </c>
      <c r="E113" s="414">
        <f t="shared" si="103"/>
        <v>0</v>
      </c>
      <c r="F113" s="414">
        <f t="shared" si="103"/>
        <v>0</v>
      </c>
      <c r="G113" s="414">
        <f t="shared" si="103"/>
        <v>0</v>
      </c>
      <c r="H113" s="414">
        <f t="shared" si="103"/>
        <v>0</v>
      </c>
      <c r="I113" s="414">
        <f t="shared" si="103"/>
        <v>0</v>
      </c>
      <c r="J113" s="414">
        <f t="shared" si="103"/>
        <v>0</v>
      </c>
      <c r="K113" s="414">
        <f t="shared" si="103"/>
        <v>0</v>
      </c>
      <c r="L113" s="414">
        <f t="shared" si="103"/>
        <v>0</v>
      </c>
      <c r="M113" s="414">
        <f t="shared" si="103"/>
        <v>0</v>
      </c>
      <c r="N113" s="414">
        <f t="shared" si="103"/>
        <v>0</v>
      </c>
      <c r="O113" s="414">
        <f t="shared" si="100"/>
        <v>0</v>
      </c>
    </row>
    <row r="114" spans="2:18" x14ac:dyDescent="0.35">
      <c r="B114" s="19">
        <f t="shared" si="98"/>
        <v>0</v>
      </c>
      <c r="C114" s="414">
        <f t="shared" ref="C114:N114" si="104">+C104*$R105</f>
        <v>0</v>
      </c>
      <c r="D114" s="414">
        <f t="shared" si="104"/>
        <v>0</v>
      </c>
      <c r="E114" s="414">
        <f t="shared" si="104"/>
        <v>0</v>
      </c>
      <c r="F114" s="414">
        <f t="shared" si="104"/>
        <v>0</v>
      </c>
      <c r="G114" s="414">
        <f t="shared" si="104"/>
        <v>0</v>
      </c>
      <c r="H114" s="414">
        <f t="shared" si="104"/>
        <v>0</v>
      </c>
      <c r="I114" s="414">
        <f t="shared" si="104"/>
        <v>0</v>
      </c>
      <c r="J114" s="414">
        <f t="shared" si="104"/>
        <v>0</v>
      </c>
      <c r="K114" s="414">
        <f t="shared" si="104"/>
        <v>0</v>
      </c>
      <c r="L114" s="414">
        <f t="shared" si="104"/>
        <v>0</v>
      </c>
      <c r="M114" s="414">
        <f t="shared" si="104"/>
        <v>0</v>
      </c>
      <c r="N114" s="414">
        <f t="shared" si="104"/>
        <v>0</v>
      </c>
      <c r="O114" s="414">
        <f t="shared" si="100"/>
        <v>0</v>
      </c>
    </row>
    <row r="115" spans="2:18" x14ac:dyDescent="0.35">
      <c r="B115" s="19">
        <f t="shared" si="98"/>
        <v>0</v>
      </c>
      <c r="C115" s="414">
        <f t="shared" ref="C115:N115" si="105">+C105*$R106</f>
        <v>0</v>
      </c>
      <c r="D115" s="414">
        <f t="shared" si="105"/>
        <v>0</v>
      </c>
      <c r="E115" s="414">
        <f t="shared" si="105"/>
        <v>0</v>
      </c>
      <c r="F115" s="414">
        <f t="shared" si="105"/>
        <v>0</v>
      </c>
      <c r="G115" s="414">
        <f t="shared" si="105"/>
        <v>0</v>
      </c>
      <c r="H115" s="414">
        <f t="shared" si="105"/>
        <v>0</v>
      </c>
      <c r="I115" s="414">
        <f t="shared" si="105"/>
        <v>0</v>
      </c>
      <c r="J115" s="414">
        <f t="shared" si="105"/>
        <v>0</v>
      </c>
      <c r="K115" s="414">
        <f t="shared" si="105"/>
        <v>0</v>
      </c>
      <c r="L115" s="414">
        <f t="shared" si="105"/>
        <v>0</v>
      </c>
      <c r="M115" s="414">
        <f t="shared" si="105"/>
        <v>0</v>
      </c>
      <c r="N115" s="414">
        <f t="shared" si="105"/>
        <v>0</v>
      </c>
      <c r="O115" s="414">
        <f t="shared" si="100"/>
        <v>0</v>
      </c>
    </row>
    <row r="116" spans="2:18" ht="13.5" thickBot="1" x14ac:dyDescent="0.45">
      <c r="B116" s="357" t="s">
        <v>63</v>
      </c>
      <c r="C116" s="415">
        <f>SUM(C110:C115)</f>
        <v>0</v>
      </c>
      <c r="D116" s="415">
        <f t="shared" ref="D116:N116" si="106">SUM(D110:D115)</f>
        <v>0</v>
      </c>
      <c r="E116" s="415">
        <f t="shared" si="106"/>
        <v>0</v>
      </c>
      <c r="F116" s="415">
        <f t="shared" si="106"/>
        <v>0</v>
      </c>
      <c r="G116" s="415">
        <f t="shared" si="106"/>
        <v>0</v>
      </c>
      <c r="H116" s="415">
        <f t="shared" si="106"/>
        <v>0</v>
      </c>
      <c r="I116" s="415">
        <f t="shared" si="106"/>
        <v>0</v>
      </c>
      <c r="J116" s="415">
        <f t="shared" si="106"/>
        <v>0</v>
      </c>
      <c r="K116" s="415">
        <f t="shared" si="106"/>
        <v>0</v>
      </c>
      <c r="L116" s="415">
        <f t="shared" si="106"/>
        <v>0</v>
      </c>
      <c r="M116" s="415">
        <f t="shared" si="106"/>
        <v>0</v>
      </c>
      <c r="N116" s="415">
        <f t="shared" si="106"/>
        <v>0</v>
      </c>
      <c r="O116" s="415">
        <f t="shared" si="100"/>
        <v>0</v>
      </c>
    </row>
    <row r="117" spans="2:18" ht="13.15" x14ac:dyDescent="0.4">
      <c r="B117" s="372"/>
      <c r="C117" s="373"/>
      <c r="D117" s="373"/>
      <c r="E117" s="373"/>
      <c r="F117" s="373"/>
      <c r="G117" s="373"/>
      <c r="H117" s="373"/>
      <c r="I117" s="373"/>
      <c r="J117" s="373"/>
      <c r="K117" s="373"/>
      <c r="L117" s="373"/>
      <c r="M117" s="373"/>
      <c r="N117" s="373"/>
      <c r="O117" s="373"/>
    </row>
    <row r="118" spans="2:18" ht="13.15" x14ac:dyDescent="0.4">
      <c r="B118" s="372"/>
      <c r="C118" s="373"/>
      <c r="D118" s="373"/>
      <c r="E118" s="373"/>
      <c r="F118" s="373"/>
      <c r="G118" s="373"/>
      <c r="H118" s="373"/>
      <c r="I118" s="373"/>
      <c r="J118" s="373"/>
      <c r="K118" s="373"/>
      <c r="L118" s="373"/>
      <c r="M118" s="373"/>
      <c r="N118" s="373"/>
      <c r="O118" s="373"/>
    </row>
    <row r="119" spans="2:18" ht="13.15" x14ac:dyDescent="0.4">
      <c r="B119" s="372"/>
      <c r="C119" s="373"/>
      <c r="D119" s="373"/>
      <c r="E119" s="373"/>
      <c r="F119" s="373"/>
      <c r="G119" s="373"/>
      <c r="H119" s="373"/>
      <c r="I119" s="373"/>
      <c r="J119" s="373"/>
      <c r="K119" s="373"/>
      <c r="L119" s="373"/>
      <c r="M119" s="373"/>
      <c r="N119" s="373"/>
      <c r="O119" s="373"/>
    </row>
    <row r="121" spans="2:18" ht="17.649999999999999" x14ac:dyDescent="0.5">
      <c r="B121" s="605" t="s">
        <v>69</v>
      </c>
      <c r="C121" s="605"/>
      <c r="D121" s="605"/>
      <c r="E121" s="605"/>
      <c r="F121" s="605"/>
      <c r="G121" s="605"/>
      <c r="H121" s="605"/>
      <c r="I121" s="605"/>
      <c r="J121" s="605"/>
      <c r="K121" s="605"/>
      <c r="L121" s="605"/>
      <c r="M121" s="605"/>
      <c r="N121" s="605"/>
      <c r="O121" s="605"/>
      <c r="Q121" s="94"/>
      <c r="R121" s="94"/>
    </row>
    <row r="122" spans="2:18" ht="13.15" thickBot="1" x14ac:dyDescent="0.4">
      <c r="Q122" s="94"/>
      <c r="R122" s="94"/>
    </row>
    <row r="123" spans="2:18" ht="15" x14ac:dyDescent="0.4">
      <c r="B123" s="87" t="s">
        <v>46</v>
      </c>
      <c r="C123" s="88"/>
      <c r="D123" s="88"/>
      <c r="E123" s="88"/>
      <c r="F123" s="88"/>
      <c r="G123" s="89"/>
      <c r="H123" s="91"/>
      <c r="I123" s="91"/>
      <c r="J123" s="91"/>
      <c r="K123" s="91"/>
      <c r="L123" s="91"/>
      <c r="M123" s="91"/>
      <c r="N123" s="91"/>
      <c r="O123" s="91"/>
      <c r="Q123" s="606"/>
      <c r="R123" s="606"/>
    </row>
    <row r="124" spans="2:18" ht="13.15" x14ac:dyDescent="0.4">
      <c r="B124" s="26" t="s">
        <v>52</v>
      </c>
      <c r="C124" s="25">
        <v>1</v>
      </c>
      <c r="D124" s="25">
        <v>2</v>
      </c>
      <c r="E124" s="25">
        <v>3</v>
      </c>
      <c r="F124" s="25">
        <v>4</v>
      </c>
      <c r="G124" s="24">
        <v>5</v>
      </c>
      <c r="H124" s="92"/>
      <c r="I124" s="92"/>
      <c r="J124" s="92"/>
      <c r="K124" s="92"/>
      <c r="L124" s="92"/>
      <c r="M124" s="92"/>
      <c r="N124" s="92"/>
      <c r="O124" s="92"/>
      <c r="P124" s="23"/>
      <c r="Q124" s="607"/>
      <c r="R124" s="607"/>
    </row>
    <row r="125" spans="2:18" ht="13.15" x14ac:dyDescent="0.4">
      <c r="B125" s="588" t="s">
        <v>368</v>
      </c>
      <c r="C125" s="366">
        <f t="shared" ref="C125:C130" si="107">+O12</f>
        <v>0</v>
      </c>
      <c r="D125" s="369">
        <f t="shared" ref="D125:D130" si="108">+O34</f>
        <v>0</v>
      </c>
      <c r="E125" s="369">
        <f t="shared" ref="E125:E130" si="109">+O56</f>
        <v>0</v>
      </c>
      <c r="F125" s="369">
        <f t="shared" ref="F125:F130" si="110">+O78</f>
        <v>0</v>
      </c>
      <c r="G125" s="410">
        <f t="shared" ref="G125:G130" si="111">+O100</f>
        <v>0</v>
      </c>
      <c r="H125" s="93"/>
      <c r="I125" s="93"/>
      <c r="J125" s="93"/>
      <c r="K125" s="93"/>
      <c r="L125" s="93"/>
      <c r="M125" s="93"/>
      <c r="N125" s="93"/>
      <c r="O125" s="94"/>
      <c r="Q125" s="92"/>
      <c r="R125" s="92"/>
    </row>
    <row r="126" spans="2:18" ht="13.15" x14ac:dyDescent="0.4">
      <c r="B126" s="588" t="s">
        <v>369</v>
      </c>
      <c r="C126" s="366">
        <f t="shared" si="107"/>
        <v>0</v>
      </c>
      <c r="D126" s="369">
        <f t="shared" si="108"/>
        <v>0</v>
      </c>
      <c r="E126" s="369">
        <f t="shared" si="109"/>
        <v>0</v>
      </c>
      <c r="F126" s="369">
        <f t="shared" si="110"/>
        <v>0</v>
      </c>
      <c r="G126" s="410">
        <f t="shared" si="111"/>
        <v>0</v>
      </c>
      <c r="H126" s="93"/>
      <c r="I126" s="93"/>
      <c r="J126" s="93"/>
      <c r="K126" s="93"/>
      <c r="L126" s="93"/>
      <c r="M126" s="93"/>
      <c r="N126" s="93"/>
      <c r="O126" s="94"/>
      <c r="Q126" s="92"/>
      <c r="R126" s="92"/>
    </row>
    <row r="127" spans="2:18" ht="13.15" x14ac:dyDescent="0.4">
      <c r="B127" s="588" t="s">
        <v>370</v>
      </c>
      <c r="C127" s="366">
        <f t="shared" si="107"/>
        <v>0</v>
      </c>
      <c r="D127" s="369">
        <f t="shared" si="108"/>
        <v>0</v>
      </c>
      <c r="E127" s="369">
        <f t="shared" si="109"/>
        <v>0</v>
      </c>
      <c r="F127" s="369">
        <f t="shared" si="110"/>
        <v>0</v>
      </c>
      <c r="G127" s="410">
        <f t="shared" si="111"/>
        <v>0</v>
      </c>
      <c r="H127" s="93"/>
      <c r="I127" s="93"/>
      <c r="J127" s="93"/>
      <c r="K127" s="93"/>
      <c r="L127" s="93"/>
      <c r="M127" s="93"/>
      <c r="N127" s="93"/>
      <c r="O127" s="94"/>
      <c r="Q127" s="92"/>
      <c r="R127" s="92"/>
    </row>
    <row r="128" spans="2:18" ht="13.15" x14ac:dyDescent="0.4">
      <c r="B128" s="409">
        <f t="shared" ref="B128:B130" si="112">+B113</f>
        <v>0</v>
      </c>
      <c r="C128" s="366">
        <f t="shared" si="107"/>
        <v>0</v>
      </c>
      <c r="D128" s="369">
        <f t="shared" si="108"/>
        <v>0</v>
      </c>
      <c r="E128" s="369">
        <f t="shared" si="109"/>
        <v>0</v>
      </c>
      <c r="F128" s="369">
        <f t="shared" si="110"/>
        <v>0</v>
      </c>
      <c r="G128" s="410">
        <f t="shared" si="111"/>
        <v>0</v>
      </c>
      <c r="H128" s="93"/>
      <c r="I128" s="93"/>
      <c r="J128" s="93"/>
      <c r="K128" s="93"/>
      <c r="L128" s="93"/>
      <c r="M128" s="93"/>
      <c r="N128" s="93"/>
      <c r="O128" s="94"/>
      <c r="Q128" s="92"/>
      <c r="R128" s="92"/>
    </row>
    <row r="129" spans="2:18" ht="13.15" x14ac:dyDescent="0.4">
      <c r="B129" s="409">
        <f t="shared" si="112"/>
        <v>0</v>
      </c>
      <c r="C129" s="366">
        <f t="shared" si="107"/>
        <v>0</v>
      </c>
      <c r="D129" s="369">
        <f t="shared" si="108"/>
        <v>0</v>
      </c>
      <c r="E129" s="369">
        <f t="shared" si="109"/>
        <v>0</v>
      </c>
      <c r="F129" s="369">
        <f t="shared" si="110"/>
        <v>0</v>
      </c>
      <c r="G129" s="410">
        <f t="shared" si="111"/>
        <v>0</v>
      </c>
      <c r="H129" s="93"/>
      <c r="I129" s="93"/>
      <c r="J129" s="93"/>
      <c r="K129" s="93"/>
      <c r="L129" s="93"/>
      <c r="M129" s="93"/>
      <c r="N129" s="93"/>
      <c r="O129" s="94"/>
      <c r="Q129" s="92"/>
      <c r="R129" s="92"/>
    </row>
    <row r="130" spans="2:18" ht="13.15" x14ac:dyDescent="0.4">
      <c r="B130" s="409">
        <f t="shared" si="112"/>
        <v>0</v>
      </c>
      <c r="C130" s="366">
        <f t="shared" si="107"/>
        <v>0</v>
      </c>
      <c r="D130" s="369">
        <f t="shared" si="108"/>
        <v>0</v>
      </c>
      <c r="E130" s="369">
        <f t="shared" si="109"/>
        <v>0</v>
      </c>
      <c r="F130" s="369">
        <f t="shared" si="110"/>
        <v>0</v>
      </c>
      <c r="G130" s="410">
        <f t="shared" si="111"/>
        <v>0</v>
      </c>
      <c r="H130" s="93"/>
      <c r="I130" s="93"/>
      <c r="J130" s="93"/>
      <c r="K130" s="93"/>
      <c r="L130" s="93"/>
      <c r="M130" s="93"/>
      <c r="N130" s="93"/>
      <c r="O130" s="94"/>
      <c r="Q130" s="92"/>
      <c r="R130" s="92"/>
    </row>
    <row r="131" spans="2:18" ht="13.5" thickBot="1" x14ac:dyDescent="0.45">
      <c r="B131" s="411" t="s">
        <v>63</v>
      </c>
      <c r="C131" s="412">
        <f>SUM(C125:C130)</f>
        <v>0</v>
      </c>
      <c r="D131" s="412">
        <f>SUM(D125:D130)</f>
        <v>0</v>
      </c>
      <c r="E131" s="412">
        <f>SUM(E125:E130)</f>
        <v>0</v>
      </c>
      <c r="F131" s="412">
        <f>SUM(F125:F130)</f>
        <v>0</v>
      </c>
      <c r="G131" s="413">
        <f>SUM(G125:G130)</f>
        <v>0</v>
      </c>
      <c r="H131" s="93"/>
      <c r="I131" s="93"/>
      <c r="J131" s="93"/>
      <c r="K131" s="93"/>
      <c r="L131" s="93"/>
      <c r="M131" s="93"/>
      <c r="N131" s="93"/>
      <c r="O131" s="94"/>
      <c r="Q131" s="92"/>
      <c r="R131" s="92"/>
    </row>
    <row r="132" spans="2:18" ht="13.15" x14ac:dyDescent="0.4">
      <c r="B132" s="367"/>
      <c r="C132" s="368"/>
      <c r="D132" s="368"/>
      <c r="E132" s="368"/>
      <c r="F132" s="368"/>
      <c r="G132" s="368"/>
      <c r="H132" s="93"/>
      <c r="I132" s="93"/>
      <c r="J132" s="93"/>
      <c r="K132" s="93"/>
      <c r="L132" s="93"/>
      <c r="M132" s="93"/>
      <c r="N132" s="93"/>
      <c r="O132" s="94"/>
      <c r="Q132" s="92"/>
      <c r="R132" s="92"/>
    </row>
    <row r="133" spans="2:18" ht="13.15" x14ac:dyDescent="0.4">
      <c r="B133" s="367"/>
      <c r="C133" s="368"/>
      <c r="D133" s="368"/>
      <c r="E133" s="368"/>
      <c r="F133" s="368"/>
      <c r="G133" s="368"/>
      <c r="H133" s="93"/>
      <c r="I133" s="93"/>
      <c r="J133" s="93"/>
      <c r="K133" s="93"/>
      <c r="L133" s="93"/>
      <c r="M133" s="93"/>
      <c r="N133" s="93"/>
      <c r="O133" s="94"/>
      <c r="Q133" s="92"/>
      <c r="R133" s="92"/>
    </row>
    <row r="134" spans="2:18" ht="13.15" thickBot="1" x14ac:dyDescent="0.4">
      <c r="H134" s="94"/>
      <c r="I134" s="94"/>
      <c r="J134" s="94"/>
      <c r="K134" s="94"/>
      <c r="L134" s="94"/>
      <c r="M134" s="94"/>
      <c r="N134" s="94"/>
      <c r="O134" s="94"/>
      <c r="Q134" s="94"/>
      <c r="R134" s="147"/>
    </row>
    <row r="135" spans="2:18" ht="13.5" thickBot="1" x14ac:dyDescent="0.45">
      <c r="B135" s="96" t="s">
        <v>59</v>
      </c>
      <c r="C135" s="97"/>
      <c r="D135" s="97"/>
      <c r="E135" s="97"/>
      <c r="F135" s="97"/>
      <c r="G135" s="98"/>
      <c r="H135" s="94"/>
      <c r="I135" s="94"/>
      <c r="J135" s="94"/>
      <c r="K135" s="94"/>
      <c r="L135" s="94"/>
      <c r="M135" s="94"/>
      <c r="N135" s="94"/>
      <c r="O135" s="94"/>
      <c r="Q135" s="94"/>
      <c r="R135" s="94"/>
    </row>
    <row r="136" spans="2:18" ht="13.15" x14ac:dyDescent="0.4">
      <c r="B136" s="22" t="s">
        <v>52</v>
      </c>
      <c r="C136" s="21">
        <v>1</v>
      </c>
      <c r="D136" s="21">
        <v>2</v>
      </c>
      <c r="E136" s="21">
        <v>3</v>
      </c>
      <c r="F136" s="21">
        <v>4</v>
      </c>
      <c r="G136" s="20">
        <v>5</v>
      </c>
      <c r="H136" s="92"/>
      <c r="I136" s="92"/>
      <c r="J136" s="92"/>
      <c r="K136" s="92"/>
      <c r="L136" s="92"/>
      <c r="M136" s="92"/>
      <c r="N136" s="92"/>
      <c r="O136" s="92"/>
      <c r="Q136" s="94"/>
      <c r="R136" s="94"/>
    </row>
    <row r="137" spans="2:18" x14ac:dyDescent="0.35">
      <c r="B137" s="19" t="str">
        <f t="shared" ref="B137:B143" si="113">+B125</f>
        <v>Producto1</v>
      </c>
      <c r="C137" s="485">
        <f t="shared" ref="C137:C142" si="114">+O22</f>
        <v>0</v>
      </c>
      <c r="D137" s="485">
        <f t="shared" ref="D137:D142" si="115">+O44</f>
        <v>0</v>
      </c>
      <c r="E137" s="486">
        <f t="shared" ref="E137:E142" si="116">+O66</f>
        <v>0</v>
      </c>
      <c r="F137" s="485">
        <f t="shared" ref="F137:F142" si="117">+O88</f>
        <v>0</v>
      </c>
      <c r="G137" s="487">
        <f t="shared" ref="G137:G142" si="118">+O110</f>
        <v>0</v>
      </c>
      <c r="H137" s="95"/>
      <c r="I137" s="95"/>
      <c r="J137" s="95"/>
      <c r="K137" s="95"/>
      <c r="L137" s="95"/>
      <c r="M137" s="95"/>
      <c r="N137" s="95"/>
      <c r="O137" s="95"/>
    </row>
    <row r="138" spans="2:18" ht="12.75" customHeight="1" x14ac:dyDescent="0.35">
      <c r="B138" s="19" t="str">
        <f t="shared" si="113"/>
        <v>Producto2</v>
      </c>
      <c r="C138" s="485">
        <f t="shared" si="114"/>
        <v>0</v>
      </c>
      <c r="D138" s="485">
        <f t="shared" si="115"/>
        <v>0</v>
      </c>
      <c r="E138" s="486">
        <f t="shared" si="116"/>
        <v>0</v>
      </c>
      <c r="F138" s="485">
        <f t="shared" si="117"/>
        <v>0</v>
      </c>
      <c r="G138" s="487">
        <f t="shared" si="118"/>
        <v>0</v>
      </c>
      <c r="H138" s="94"/>
      <c r="I138" s="94"/>
      <c r="J138" s="94"/>
      <c r="K138" s="94"/>
      <c r="L138" s="94"/>
      <c r="M138" s="94"/>
      <c r="N138" s="94"/>
      <c r="O138" s="94"/>
    </row>
    <row r="139" spans="2:18" ht="13.5" customHeight="1" x14ac:dyDescent="0.35">
      <c r="B139" s="19" t="str">
        <f t="shared" si="113"/>
        <v>Producto3</v>
      </c>
      <c r="C139" s="485">
        <f t="shared" si="114"/>
        <v>0</v>
      </c>
      <c r="D139" s="485">
        <f t="shared" si="115"/>
        <v>0</v>
      </c>
      <c r="E139" s="486">
        <f t="shared" si="116"/>
        <v>0</v>
      </c>
      <c r="F139" s="485">
        <f t="shared" si="117"/>
        <v>0</v>
      </c>
      <c r="G139" s="487">
        <f t="shared" si="118"/>
        <v>0</v>
      </c>
    </row>
    <row r="140" spans="2:18" ht="13.5" customHeight="1" x14ac:dyDescent="0.35">
      <c r="B140" s="19">
        <f t="shared" si="113"/>
        <v>0</v>
      </c>
      <c r="C140" s="485">
        <f t="shared" si="114"/>
        <v>0</v>
      </c>
      <c r="D140" s="485">
        <f t="shared" si="115"/>
        <v>0</v>
      </c>
      <c r="E140" s="486">
        <f t="shared" si="116"/>
        <v>0</v>
      </c>
      <c r="F140" s="485">
        <f t="shared" si="117"/>
        <v>0</v>
      </c>
      <c r="G140" s="487">
        <f t="shared" si="118"/>
        <v>0</v>
      </c>
    </row>
    <row r="141" spans="2:18" x14ac:dyDescent="0.35">
      <c r="B141" s="19">
        <f t="shared" si="113"/>
        <v>0</v>
      </c>
      <c r="C141" s="485">
        <f t="shared" si="114"/>
        <v>0</v>
      </c>
      <c r="D141" s="485">
        <f t="shared" si="115"/>
        <v>0</v>
      </c>
      <c r="E141" s="486">
        <f t="shared" si="116"/>
        <v>0</v>
      </c>
      <c r="F141" s="485">
        <f t="shared" si="117"/>
        <v>0</v>
      </c>
      <c r="G141" s="487">
        <f t="shared" si="118"/>
        <v>0</v>
      </c>
    </row>
    <row r="142" spans="2:18" x14ac:dyDescent="0.35">
      <c r="B142" s="19">
        <f t="shared" si="113"/>
        <v>0</v>
      </c>
      <c r="C142" s="485">
        <f t="shared" si="114"/>
        <v>0</v>
      </c>
      <c r="D142" s="485">
        <f t="shared" si="115"/>
        <v>0</v>
      </c>
      <c r="E142" s="486">
        <f t="shared" si="116"/>
        <v>0</v>
      </c>
      <c r="F142" s="485">
        <f t="shared" si="117"/>
        <v>0</v>
      </c>
      <c r="G142" s="487">
        <f t="shared" si="118"/>
        <v>0</v>
      </c>
    </row>
    <row r="143" spans="2:18" ht="13.5" thickBot="1" x14ac:dyDescent="0.4">
      <c r="B143" s="148" t="str">
        <f t="shared" si="113"/>
        <v>Totales</v>
      </c>
      <c r="C143" s="488">
        <f>SUM(C137:C142)</f>
        <v>0</v>
      </c>
      <c r="D143" s="488">
        <f>SUM(D137:D142)</f>
        <v>0</v>
      </c>
      <c r="E143" s="488">
        <f>SUM(E137:E142)</f>
        <v>0</v>
      </c>
      <c r="F143" s="488">
        <f>SUM(F137:F142)</f>
        <v>0</v>
      </c>
      <c r="G143" s="488">
        <f>SUM(G137:G142)</f>
        <v>0</v>
      </c>
    </row>
    <row r="144" spans="2:18" ht="13.15" x14ac:dyDescent="0.35">
      <c r="B144" s="370"/>
    </row>
    <row r="146" spans="2:10" x14ac:dyDescent="0.35">
      <c r="B146" s="2" t="str">
        <f t="shared" ref="B146:B151" si="119">B137</f>
        <v>Producto1</v>
      </c>
      <c r="C146" s="276" t="e">
        <f t="shared" ref="C146:C151" si="120">C137/$C$143</f>
        <v>#DIV/0!</v>
      </c>
      <c r="D146" s="276" t="e">
        <f t="shared" ref="D146:D151" si="121">D137/$D$143</f>
        <v>#DIV/0!</v>
      </c>
      <c r="E146" s="276" t="e">
        <f t="shared" ref="E146:E151" si="122">E137/$E$143</f>
        <v>#DIV/0!</v>
      </c>
      <c r="F146" s="276" t="e">
        <f t="shared" ref="F146:F151" si="123">F137/$F$143</f>
        <v>#DIV/0!</v>
      </c>
      <c r="G146" s="276" t="e">
        <f t="shared" ref="G146:G151" si="124">G137/$G$143</f>
        <v>#DIV/0!</v>
      </c>
    </row>
    <row r="147" spans="2:10" ht="13.15" x14ac:dyDescent="0.4">
      <c r="B147" s="2" t="str">
        <f t="shared" si="119"/>
        <v>Producto2</v>
      </c>
      <c r="C147" s="276" t="e">
        <f t="shared" si="120"/>
        <v>#DIV/0!</v>
      </c>
      <c r="D147" s="276" t="e">
        <f t="shared" si="121"/>
        <v>#DIV/0!</v>
      </c>
      <c r="E147" s="276" t="e">
        <f t="shared" si="122"/>
        <v>#DIV/0!</v>
      </c>
      <c r="F147" s="276" t="e">
        <f t="shared" si="123"/>
        <v>#DIV/0!</v>
      </c>
      <c r="G147" s="276" t="e">
        <f t="shared" si="124"/>
        <v>#DIV/0!</v>
      </c>
      <c r="H147" s="314" t="s">
        <v>70</v>
      </c>
      <c r="I147" s="314"/>
      <c r="J147" s="314"/>
    </row>
    <row r="148" spans="2:10" ht="13.15" x14ac:dyDescent="0.4">
      <c r="B148" s="2" t="str">
        <f t="shared" si="119"/>
        <v>Producto3</v>
      </c>
      <c r="C148" s="276" t="e">
        <f t="shared" si="120"/>
        <v>#DIV/0!</v>
      </c>
      <c r="D148" s="276" t="e">
        <f t="shared" si="121"/>
        <v>#DIV/0!</v>
      </c>
      <c r="E148" s="276" t="e">
        <f t="shared" si="122"/>
        <v>#DIV/0!</v>
      </c>
      <c r="F148" s="276" t="e">
        <f t="shared" si="123"/>
        <v>#DIV/0!</v>
      </c>
      <c r="G148" s="276" t="e">
        <f t="shared" si="124"/>
        <v>#DIV/0!</v>
      </c>
      <c r="H148" s="313" t="s">
        <v>71</v>
      </c>
    </row>
    <row r="149" spans="2:10" x14ac:dyDescent="0.35">
      <c r="B149" s="2">
        <f t="shared" si="119"/>
        <v>0</v>
      </c>
      <c r="C149" s="276" t="e">
        <f t="shared" si="120"/>
        <v>#DIV/0!</v>
      </c>
      <c r="D149" s="276" t="e">
        <f t="shared" si="121"/>
        <v>#DIV/0!</v>
      </c>
      <c r="E149" s="276" t="e">
        <f t="shared" si="122"/>
        <v>#DIV/0!</v>
      </c>
      <c r="F149" s="276" t="e">
        <f t="shared" si="123"/>
        <v>#DIV/0!</v>
      </c>
      <c r="G149" s="276" t="e">
        <f t="shared" si="124"/>
        <v>#DIV/0!</v>
      </c>
    </row>
    <row r="150" spans="2:10" x14ac:dyDescent="0.35">
      <c r="B150" s="2">
        <f t="shared" si="119"/>
        <v>0</v>
      </c>
      <c r="C150" s="276" t="e">
        <f t="shared" si="120"/>
        <v>#DIV/0!</v>
      </c>
      <c r="D150" s="276" t="e">
        <f t="shared" si="121"/>
        <v>#DIV/0!</v>
      </c>
      <c r="E150" s="276" t="e">
        <f t="shared" si="122"/>
        <v>#DIV/0!</v>
      </c>
      <c r="F150" s="276" t="e">
        <f t="shared" si="123"/>
        <v>#DIV/0!</v>
      </c>
      <c r="G150" s="276" t="e">
        <f t="shared" si="124"/>
        <v>#DIV/0!</v>
      </c>
    </row>
    <row r="151" spans="2:10" x14ac:dyDescent="0.35">
      <c r="B151" s="2">
        <f t="shared" si="119"/>
        <v>0</v>
      </c>
      <c r="C151" s="276" t="e">
        <f t="shared" si="120"/>
        <v>#DIV/0!</v>
      </c>
      <c r="D151" s="276" t="e">
        <f t="shared" si="121"/>
        <v>#DIV/0!</v>
      </c>
      <c r="E151" s="276" t="e">
        <f t="shared" si="122"/>
        <v>#DIV/0!</v>
      </c>
      <c r="F151" s="276" t="e">
        <f t="shared" si="123"/>
        <v>#DIV/0!</v>
      </c>
      <c r="G151" s="276" t="e">
        <f t="shared" si="124"/>
        <v>#DIV/0!</v>
      </c>
    </row>
    <row r="153" spans="2:10" x14ac:dyDescent="0.35">
      <c r="C153" s="371" t="e">
        <f>SUM(C146:C152)</f>
        <v>#DIV/0!</v>
      </c>
      <c r="D153" s="371" t="e">
        <f>SUM(D146:D152)</f>
        <v>#DIV/0!</v>
      </c>
      <c r="E153" s="371" t="e">
        <f>SUM(E146:E152)</f>
        <v>#DIV/0!</v>
      </c>
      <c r="F153" s="371" t="e">
        <f>SUM(F146:F152)</f>
        <v>#DIV/0!</v>
      </c>
      <c r="G153" s="371" t="e">
        <f>SUM(G146:G152)</f>
        <v>#DIV/0!</v>
      </c>
    </row>
  </sheetData>
  <sheetProtection insertRows="0" autoFilter="0"/>
  <mergeCells count="30">
    <mergeCell ref="W9:X9"/>
    <mergeCell ref="T9:U10"/>
    <mergeCell ref="Q99:R99"/>
    <mergeCell ref="B108:O108"/>
    <mergeCell ref="Q77:R77"/>
    <mergeCell ref="B86:O86"/>
    <mergeCell ref="B96:O96"/>
    <mergeCell ref="B98:O98"/>
    <mergeCell ref="Q98:R98"/>
    <mergeCell ref="B7:O7"/>
    <mergeCell ref="B20:O20"/>
    <mergeCell ref="B30:O30"/>
    <mergeCell ref="B32:O32"/>
    <mergeCell ref="Q32:R32"/>
    <mergeCell ref="B121:O121"/>
    <mergeCell ref="Q123:R123"/>
    <mergeCell ref="Q124:R124"/>
    <mergeCell ref="Q10:R10"/>
    <mergeCell ref="B9:O9"/>
    <mergeCell ref="Q9:R9"/>
    <mergeCell ref="Q33:R33"/>
    <mergeCell ref="B42:O42"/>
    <mergeCell ref="B52:O52"/>
    <mergeCell ref="B54:O54"/>
    <mergeCell ref="Q54:R54"/>
    <mergeCell ref="Q55:R55"/>
    <mergeCell ref="B64:O64"/>
    <mergeCell ref="B74:O74"/>
    <mergeCell ref="B76:O76"/>
    <mergeCell ref="Q76:R76"/>
  </mergeCells>
  <phoneticPr fontId="70" type="noConversion"/>
  <dataValidations count="2">
    <dataValidation type="textLength" allowBlank="1" showInputMessage="1" showErrorMessage="1" sqref="W12:W14 Q101:Q106 B125:B130 Q13:Q18 Q35:Q40 Q57:Q62 Q79:Q84 B12:B17" xr:uid="{00000000-0002-0000-0200-000000000000}">
      <formula1>1</formula1>
      <formula2>50</formula2>
    </dataValidation>
    <dataValidation type="whole" allowBlank="1" showInputMessage="1" showErrorMessage="1" sqref="W23:AH25 C12:N17" xr:uid="{00000000-0002-0000-0200-000001000000}">
      <formula1>0</formula1>
      <formula2>99999999999999</formula2>
    </dataValidation>
  </dataValidations>
  <pageMargins left="0.59055118110236227" right="0.59055118110236227" top="1.1811023622047245" bottom="1.1811023622047245" header="0" footer="0"/>
  <pageSetup paperSize="9" scale="93" orientation="landscape" horizontalDpi="360" verticalDpi="360" r:id="rId1"/>
  <headerFooter alignWithMargins="0">
    <oddFooter>&amp;C
SYSA Cultura Emprendedora
Proyección de Ventas - Plan de Negocio
www.culturaemprendedora.com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B7A40-39FE-498C-A28A-E3C729C95F3D}">
  <dimension ref="B2:O26"/>
  <sheetViews>
    <sheetView topLeftCell="A4" workbookViewId="0">
      <selection activeCell="C24" sqref="C24"/>
    </sheetView>
  </sheetViews>
  <sheetFormatPr baseColWidth="10" defaultRowHeight="12.75" x14ac:dyDescent="0.35"/>
  <cols>
    <col min="1" max="1" width="4.53125" customWidth="1"/>
    <col min="2" max="2" width="51.33203125" customWidth="1"/>
    <col min="4" max="4" width="14.46484375" bestFit="1" customWidth="1"/>
  </cols>
  <sheetData>
    <row r="2" spans="2:15" x14ac:dyDescent="0.35">
      <c r="B2" s="77" t="s">
        <v>398</v>
      </c>
      <c r="C2">
        <v>0.10199999999999999</v>
      </c>
      <c r="D2" s="77" t="s">
        <v>401</v>
      </c>
    </row>
    <row r="3" spans="2:15" x14ac:dyDescent="0.35">
      <c r="B3" s="77" t="s">
        <v>399</v>
      </c>
      <c r="C3">
        <v>0.20399999999999999</v>
      </c>
      <c r="D3" s="77" t="s">
        <v>402</v>
      </c>
    </row>
    <row r="5" spans="2:15" x14ac:dyDescent="0.35">
      <c r="B5" t="s">
        <v>382</v>
      </c>
    </row>
    <row r="6" spans="2:15" ht="13.15" x14ac:dyDescent="0.4">
      <c r="B6" s="591" t="s">
        <v>397</v>
      </c>
      <c r="C6" s="619" t="s">
        <v>385</v>
      </c>
      <c r="D6" s="619"/>
      <c r="E6" s="619"/>
      <c r="F6" s="619"/>
      <c r="G6" s="619"/>
      <c r="H6" s="619"/>
      <c r="I6" s="619"/>
      <c r="J6" s="619"/>
      <c r="K6" s="619"/>
      <c r="L6" s="619"/>
      <c r="M6" s="619"/>
      <c r="N6" s="619"/>
      <c r="O6" s="619"/>
    </row>
    <row r="7" spans="2:15" x14ac:dyDescent="0.35">
      <c r="B7" s="589" t="s">
        <v>52</v>
      </c>
      <c r="C7" s="589" t="s">
        <v>384</v>
      </c>
      <c r="D7" s="589" t="s">
        <v>386</v>
      </c>
      <c r="E7" s="590" t="s">
        <v>387</v>
      </c>
      <c r="F7" s="590" t="s">
        <v>388</v>
      </c>
      <c r="G7" s="590" t="s">
        <v>389</v>
      </c>
      <c r="H7" s="590" t="s">
        <v>390</v>
      </c>
      <c r="I7" s="590" t="s">
        <v>391</v>
      </c>
      <c r="J7" s="590" t="s">
        <v>392</v>
      </c>
      <c r="K7" s="590" t="s">
        <v>393</v>
      </c>
      <c r="L7" s="590" t="s">
        <v>394</v>
      </c>
      <c r="M7" s="590" t="s">
        <v>395</v>
      </c>
      <c r="N7" s="590" t="s">
        <v>396</v>
      </c>
      <c r="O7" s="589" t="s">
        <v>50</v>
      </c>
    </row>
    <row r="8" spans="2:15" x14ac:dyDescent="0.35">
      <c r="B8" s="533" t="s">
        <v>383</v>
      </c>
      <c r="C8" s="531">
        <v>0.82</v>
      </c>
      <c r="D8" s="531">
        <v>1.64</v>
      </c>
      <c r="E8" s="531">
        <v>3.24</v>
      </c>
      <c r="F8" s="531">
        <v>5.64</v>
      </c>
      <c r="G8" s="531">
        <v>8.0399999999999991</v>
      </c>
      <c r="H8" s="531">
        <v>16.04</v>
      </c>
      <c r="I8" s="531">
        <v>20.04</v>
      </c>
      <c r="J8" s="531">
        <v>24.04</v>
      </c>
      <c r="K8" s="531">
        <v>28.04</v>
      </c>
      <c r="L8" s="531">
        <v>32.04</v>
      </c>
      <c r="M8" s="531">
        <v>36.04</v>
      </c>
      <c r="N8" s="531">
        <v>40</v>
      </c>
      <c r="O8" s="531">
        <v>0</v>
      </c>
    </row>
    <row r="10" spans="2:15" x14ac:dyDescent="0.35">
      <c r="B10" s="590" t="s">
        <v>52</v>
      </c>
      <c r="C10" s="589">
        <v>1</v>
      </c>
      <c r="D10" s="589">
        <v>2</v>
      </c>
      <c r="E10" s="589">
        <v>3</v>
      </c>
      <c r="F10" s="589">
        <v>4</v>
      </c>
      <c r="G10" s="589">
        <v>5</v>
      </c>
      <c r="H10" s="589">
        <v>6</v>
      </c>
      <c r="I10" s="589">
        <v>7</v>
      </c>
      <c r="J10" s="589">
        <v>8</v>
      </c>
      <c r="K10" s="589">
        <v>9</v>
      </c>
      <c r="L10" s="589">
        <v>10</v>
      </c>
      <c r="M10" s="589">
        <v>11</v>
      </c>
      <c r="N10" s="589">
        <v>12</v>
      </c>
      <c r="O10" s="589" t="s">
        <v>50</v>
      </c>
    </row>
    <row r="11" spans="2:15" ht="25.5" x14ac:dyDescent="0.35">
      <c r="B11" s="594" t="s">
        <v>400</v>
      </c>
      <c r="C11" s="595">
        <v>24</v>
      </c>
      <c r="D11" s="595">
        <v>27</v>
      </c>
      <c r="E11" s="595">
        <v>30</v>
      </c>
      <c r="F11" s="595">
        <v>33</v>
      </c>
      <c r="G11" s="595">
        <v>36</v>
      </c>
      <c r="H11" s="595">
        <v>39</v>
      </c>
      <c r="I11" s="595">
        <v>42</v>
      </c>
      <c r="J11" s="595">
        <v>45</v>
      </c>
      <c r="K11" s="595">
        <v>48</v>
      </c>
      <c r="L11" s="595">
        <v>51</v>
      </c>
      <c r="M11" s="595">
        <v>54</v>
      </c>
      <c r="N11" s="595">
        <v>57</v>
      </c>
      <c r="O11" s="259">
        <v>0</v>
      </c>
    </row>
    <row r="12" spans="2:15" ht="25.5" x14ac:dyDescent="0.35">
      <c r="B12" s="592" t="s">
        <v>403</v>
      </c>
      <c r="C12" s="533">
        <f>C11*$C$2</f>
        <v>2.448</v>
      </c>
      <c r="D12" s="533">
        <f t="shared" ref="D12:N12" si="0">D11*$C$2</f>
        <v>2.754</v>
      </c>
      <c r="E12" s="533">
        <f t="shared" si="0"/>
        <v>3.0599999999999996</v>
      </c>
      <c r="F12" s="533">
        <f t="shared" si="0"/>
        <v>3.3659999999999997</v>
      </c>
      <c r="G12" s="533">
        <f t="shared" si="0"/>
        <v>3.6719999999999997</v>
      </c>
      <c r="H12" s="533">
        <f t="shared" si="0"/>
        <v>3.9779999999999998</v>
      </c>
      <c r="I12" s="533">
        <f t="shared" si="0"/>
        <v>4.2839999999999998</v>
      </c>
      <c r="J12" s="533">
        <f t="shared" si="0"/>
        <v>4.59</v>
      </c>
      <c r="K12" s="533">
        <f t="shared" si="0"/>
        <v>4.8959999999999999</v>
      </c>
      <c r="L12" s="533">
        <f t="shared" si="0"/>
        <v>5.202</v>
      </c>
      <c r="M12" s="533">
        <f t="shared" si="0"/>
        <v>5.508</v>
      </c>
      <c r="N12" s="533">
        <f t="shared" si="0"/>
        <v>5.8140000000000001</v>
      </c>
      <c r="O12" s="533"/>
    </row>
    <row r="13" spans="2:15" ht="25.5" x14ac:dyDescent="0.35">
      <c r="B13" s="592" t="s">
        <v>404</v>
      </c>
      <c r="C13" s="533">
        <f>C11*$C$3</f>
        <v>4.8959999999999999</v>
      </c>
      <c r="D13" s="533">
        <f t="shared" ref="D13:N13" si="1">D11*$C$3</f>
        <v>5.508</v>
      </c>
      <c r="E13" s="533">
        <f t="shared" si="1"/>
        <v>6.1199999999999992</v>
      </c>
      <c r="F13" s="533">
        <f t="shared" si="1"/>
        <v>6.7319999999999993</v>
      </c>
      <c r="G13" s="533">
        <f t="shared" si="1"/>
        <v>7.3439999999999994</v>
      </c>
      <c r="H13" s="533">
        <f t="shared" si="1"/>
        <v>7.9559999999999995</v>
      </c>
      <c r="I13" s="533">
        <f t="shared" si="1"/>
        <v>8.5679999999999996</v>
      </c>
      <c r="J13" s="533">
        <f t="shared" si="1"/>
        <v>9.18</v>
      </c>
      <c r="K13" s="533">
        <f t="shared" si="1"/>
        <v>9.7919999999999998</v>
      </c>
      <c r="L13" s="533">
        <f t="shared" si="1"/>
        <v>10.404</v>
      </c>
      <c r="M13" s="533">
        <f t="shared" si="1"/>
        <v>11.016</v>
      </c>
      <c r="N13" s="533">
        <f t="shared" si="1"/>
        <v>11.628</v>
      </c>
      <c r="O13" s="533"/>
    </row>
    <row r="16" spans="2:15" ht="13.15" x14ac:dyDescent="0.4">
      <c r="B16" s="591" t="s">
        <v>59</v>
      </c>
      <c r="C16" s="619" t="s">
        <v>385</v>
      </c>
      <c r="D16" s="619"/>
      <c r="E16" s="619"/>
      <c r="F16" s="619"/>
      <c r="G16" s="619"/>
      <c r="H16" s="619"/>
      <c r="I16" s="619"/>
      <c r="J16" s="619"/>
      <c r="K16" s="619"/>
      <c r="L16" s="619"/>
      <c r="M16" s="619"/>
      <c r="N16" s="619"/>
      <c r="O16" s="619"/>
    </row>
    <row r="17" spans="2:15" x14ac:dyDescent="0.35">
      <c r="B17" s="589" t="s">
        <v>52</v>
      </c>
      <c r="C17" s="589">
        <v>1</v>
      </c>
      <c r="D17" s="589">
        <v>2</v>
      </c>
      <c r="E17" s="590">
        <v>3</v>
      </c>
      <c r="F17" s="589">
        <v>4</v>
      </c>
      <c r="G17" s="589">
        <v>5</v>
      </c>
      <c r="H17" s="590">
        <v>6</v>
      </c>
      <c r="I17" s="589">
        <v>7</v>
      </c>
      <c r="J17" s="589">
        <v>8</v>
      </c>
      <c r="K17" s="590">
        <v>9</v>
      </c>
      <c r="L17" s="589">
        <v>10</v>
      </c>
      <c r="M17" s="589">
        <v>11</v>
      </c>
      <c r="N17" s="590">
        <v>12</v>
      </c>
      <c r="O17" s="589" t="s">
        <v>50</v>
      </c>
    </row>
    <row r="18" spans="2:15" x14ac:dyDescent="0.35">
      <c r="B18" s="533" t="s">
        <v>405</v>
      </c>
      <c r="C18" s="531">
        <v>1400</v>
      </c>
      <c r="D18" s="531">
        <v>1400</v>
      </c>
      <c r="E18" s="531">
        <v>1400</v>
      </c>
      <c r="F18" s="531">
        <v>1400</v>
      </c>
      <c r="G18" s="531">
        <v>1400</v>
      </c>
      <c r="H18" s="531">
        <v>1400</v>
      </c>
      <c r="I18" s="531">
        <v>1400</v>
      </c>
      <c r="J18" s="531">
        <v>1400</v>
      </c>
      <c r="K18" s="531">
        <v>1400</v>
      </c>
      <c r="L18" s="531">
        <v>1400</v>
      </c>
      <c r="M18" s="531">
        <v>1400</v>
      </c>
      <c r="N18" s="531">
        <v>1400</v>
      </c>
      <c r="O18" s="531">
        <v>0</v>
      </c>
    </row>
    <row r="19" spans="2:15" x14ac:dyDescent="0.35">
      <c r="B19" s="533" t="s">
        <v>406</v>
      </c>
      <c r="C19" s="593">
        <v>1500</v>
      </c>
      <c r="D19" s="593">
        <v>1500</v>
      </c>
      <c r="E19" s="593">
        <v>1500</v>
      </c>
      <c r="F19" s="593">
        <v>1500</v>
      </c>
      <c r="G19" s="593">
        <v>1500</v>
      </c>
      <c r="H19" s="593">
        <v>1500</v>
      </c>
      <c r="I19" s="593">
        <v>1500</v>
      </c>
      <c r="J19" s="593">
        <v>1500</v>
      </c>
      <c r="K19" s="593">
        <v>1500</v>
      </c>
      <c r="L19" s="593">
        <v>1500</v>
      </c>
      <c r="M19" s="593">
        <v>1500</v>
      </c>
      <c r="N19" s="593">
        <v>1500</v>
      </c>
    </row>
    <row r="21" spans="2:15" ht="13.15" x14ac:dyDescent="0.4">
      <c r="B21" s="591" t="s">
        <v>407</v>
      </c>
      <c r="C21" s="619" t="s">
        <v>385</v>
      </c>
      <c r="D21" s="619"/>
      <c r="E21" s="619"/>
      <c r="F21" s="619"/>
      <c r="G21" s="619"/>
      <c r="H21" s="619"/>
      <c r="I21" s="619"/>
      <c r="J21" s="619"/>
      <c r="K21" s="619"/>
      <c r="L21" s="619"/>
      <c r="M21" s="619"/>
      <c r="N21" s="619"/>
      <c r="O21" s="619"/>
    </row>
    <row r="22" spans="2:15" x14ac:dyDescent="0.35">
      <c r="B22" s="589" t="s">
        <v>52</v>
      </c>
      <c r="C22" s="589">
        <v>1</v>
      </c>
      <c r="D22" s="589">
        <v>2</v>
      </c>
      <c r="E22" s="590">
        <v>3</v>
      </c>
      <c r="F22" s="589">
        <v>4</v>
      </c>
      <c r="G22" s="589">
        <v>5</v>
      </c>
      <c r="H22" s="590">
        <v>6</v>
      </c>
      <c r="I22" s="589">
        <v>7</v>
      </c>
      <c r="J22" s="589">
        <v>8</v>
      </c>
      <c r="K22" s="590">
        <v>9</v>
      </c>
      <c r="L22" s="589">
        <v>10</v>
      </c>
      <c r="M22" s="589">
        <v>11</v>
      </c>
      <c r="N22" s="590">
        <v>12</v>
      </c>
      <c r="O22" s="589" t="s">
        <v>50</v>
      </c>
    </row>
    <row r="23" spans="2:15" x14ac:dyDescent="0.35">
      <c r="B23" s="591" t="s">
        <v>408</v>
      </c>
      <c r="C23" s="591">
        <v>16</v>
      </c>
      <c r="D23" s="533">
        <v>16</v>
      </c>
      <c r="E23" s="533">
        <v>16</v>
      </c>
      <c r="F23" s="533">
        <v>16</v>
      </c>
      <c r="G23" s="533">
        <v>16</v>
      </c>
      <c r="H23" s="533">
        <v>16</v>
      </c>
      <c r="I23" s="533">
        <v>16</v>
      </c>
      <c r="J23" s="533">
        <v>16</v>
      </c>
      <c r="K23" s="533">
        <v>16</v>
      </c>
      <c r="L23" s="533">
        <v>16</v>
      </c>
      <c r="M23" s="533">
        <v>16</v>
      </c>
      <c r="O23" s="533"/>
    </row>
    <row r="26" spans="2:15" x14ac:dyDescent="0.35">
      <c r="F26" s="533"/>
    </row>
  </sheetData>
  <mergeCells count="3">
    <mergeCell ref="C6:O6"/>
    <mergeCell ref="C16:O16"/>
    <mergeCell ref="C21:O21"/>
  </mergeCells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3:P93"/>
  <sheetViews>
    <sheetView showGridLines="0" topLeftCell="A22" zoomScale="80" zoomScaleNormal="80" workbookViewId="0">
      <selection activeCell="D52" sqref="D52"/>
    </sheetView>
  </sheetViews>
  <sheetFormatPr baseColWidth="10" defaultColWidth="11.46484375" defaultRowHeight="12.75" x14ac:dyDescent="0.35"/>
  <cols>
    <col min="1" max="1" width="49.1328125" style="2" customWidth="1"/>
    <col min="2" max="2" width="12.86328125" style="2" bestFit="1" customWidth="1"/>
    <col min="3" max="3" width="16.46484375" style="2" customWidth="1"/>
    <col min="4" max="4" width="12.46484375" style="2" customWidth="1"/>
    <col min="5" max="5" width="12.6640625" style="2" customWidth="1"/>
    <col min="6" max="6" width="4.33203125" style="2" customWidth="1"/>
    <col min="7" max="7" width="14.46484375" style="2" bestFit="1" customWidth="1"/>
    <col min="8" max="8" width="12.6640625" style="2" customWidth="1"/>
    <col min="9" max="10" width="11.46484375" style="2"/>
    <col min="11" max="11" width="7.1328125" style="2" customWidth="1"/>
    <col min="12" max="12" width="7.46484375" style="2" customWidth="1"/>
    <col min="13" max="15" width="12" style="2" customWidth="1"/>
    <col min="16" max="16" width="18.46484375" style="2" bestFit="1" customWidth="1"/>
    <col min="17" max="16384" width="11.46484375" style="2"/>
  </cols>
  <sheetData>
    <row r="3" spans="1:16" ht="22.5" x14ac:dyDescent="0.6">
      <c r="A3" s="7" t="s">
        <v>72</v>
      </c>
      <c r="G3" s="70" t="s">
        <v>73</v>
      </c>
      <c r="H3" s="69">
        <v>3.3</v>
      </c>
    </row>
    <row r="4" spans="1:16" x14ac:dyDescent="0.35">
      <c r="P4" s="139"/>
    </row>
    <row r="5" spans="1:16" ht="21" thickBot="1" x14ac:dyDescent="0.65">
      <c r="A5" s="620" t="s">
        <v>74</v>
      </c>
      <c r="B5" s="620"/>
      <c r="C5" s="620"/>
      <c r="D5" s="620"/>
      <c r="E5" s="620"/>
    </row>
    <row r="6" spans="1:16" ht="13.15" thickBot="1" x14ac:dyDescent="0.4">
      <c r="G6" s="2" t="s">
        <v>75</v>
      </c>
      <c r="H6" s="464">
        <v>4250</v>
      </c>
    </row>
    <row r="7" spans="1:16" ht="14.25" thickBot="1" x14ac:dyDescent="0.45">
      <c r="A7" s="631" t="s">
        <v>76</v>
      </c>
      <c r="B7" s="632"/>
      <c r="C7" s="632"/>
      <c r="D7" s="632"/>
      <c r="E7" s="633"/>
    </row>
    <row r="8" spans="1:16" ht="15.4" thickBot="1" x14ac:dyDescent="0.45">
      <c r="A8" s="18" t="s">
        <v>77</v>
      </c>
      <c r="B8" s="16" t="s">
        <v>78</v>
      </c>
      <c r="C8" s="17" t="s">
        <v>79</v>
      </c>
      <c r="D8" s="16" t="s">
        <v>80</v>
      </c>
      <c r="E8" s="15" t="s">
        <v>29</v>
      </c>
      <c r="G8" s="621" t="s">
        <v>81</v>
      </c>
      <c r="H8" s="622"/>
      <c r="I8" s="622"/>
      <c r="J8" s="623"/>
    </row>
    <row r="9" spans="1:16" ht="13.5" thickBot="1" x14ac:dyDescent="0.45">
      <c r="A9" s="14"/>
      <c r="B9" s="12"/>
      <c r="C9" s="13"/>
      <c r="D9" s="12" t="s">
        <v>82</v>
      </c>
      <c r="E9" s="11" t="s">
        <v>82</v>
      </c>
      <c r="G9" s="108" t="s">
        <v>83</v>
      </c>
      <c r="H9" s="109" t="s">
        <v>84</v>
      </c>
      <c r="I9" s="109" t="s">
        <v>85</v>
      </c>
      <c r="J9" s="110" t="s">
        <v>86</v>
      </c>
    </row>
    <row r="10" spans="1:16" ht="13.15" x14ac:dyDescent="0.4">
      <c r="A10" s="100" t="s">
        <v>87</v>
      </c>
      <c r="B10" s="90"/>
      <c r="C10" s="90"/>
      <c r="D10" s="90"/>
      <c r="E10" s="101">
        <f>+E27+E50</f>
        <v>7500</v>
      </c>
      <c r="G10" s="56"/>
      <c r="H10" s="104"/>
      <c r="I10" s="104"/>
      <c r="J10" s="105"/>
      <c r="M10" s="314" t="s">
        <v>88</v>
      </c>
      <c r="N10" s="314" t="s">
        <v>89</v>
      </c>
      <c r="O10" s="314" t="s">
        <v>90</v>
      </c>
    </row>
    <row r="11" spans="1:16" ht="13.15" x14ac:dyDescent="0.4">
      <c r="A11" s="624" t="s">
        <v>91</v>
      </c>
      <c r="B11" s="625"/>
      <c r="C11" s="625"/>
      <c r="D11" s="625"/>
      <c r="E11" s="626"/>
      <c r="G11" s="55"/>
      <c r="H11" s="70"/>
      <c r="I11" s="70"/>
      <c r="J11" s="106"/>
      <c r="L11" s="2">
        <v>1</v>
      </c>
      <c r="M11" s="138">
        <f>+I50</f>
        <v>500</v>
      </c>
      <c r="O11" s="28">
        <f>+E10-M11</f>
        <v>7000</v>
      </c>
    </row>
    <row r="12" spans="1:16" x14ac:dyDescent="0.35">
      <c r="A12" s="459" t="s">
        <v>321</v>
      </c>
      <c r="B12" s="460" t="s">
        <v>92</v>
      </c>
      <c r="C12" s="461">
        <v>3</v>
      </c>
      <c r="D12" s="461">
        <v>2500</v>
      </c>
      <c r="E12" s="10">
        <f>C12*D12</f>
        <v>7500</v>
      </c>
      <c r="G12" s="354">
        <f>1/H12</f>
        <v>6.6666666666666666E-2</v>
      </c>
      <c r="H12" s="463">
        <v>15</v>
      </c>
      <c r="I12" s="362">
        <f>+IF(AND(E12&gt;$H$6/4,H12&gt;1),G12*E12,"")</f>
        <v>500</v>
      </c>
      <c r="J12" s="363">
        <f>IFERROR(I12/12,"")</f>
        <v>41.666666666666664</v>
      </c>
      <c r="L12" s="2">
        <v>2</v>
      </c>
      <c r="M12" s="138">
        <f>+I50</f>
        <v>500</v>
      </c>
      <c r="N12" s="138">
        <f>+M11+M12</f>
        <v>1000</v>
      </c>
      <c r="O12" s="28">
        <f>+O11-M12</f>
        <v>6500</v>
      </c>
    </row>
    <row r="13" spans="1:16" x14ac:dyDescent="0.35">
      <c r="A13" s="459"/>
      <c r="B13" s="460"/>
      <c r="C13" s="461"/>
      <c r="D13" s="461"/>
      <c r="E13" s="10"/>
      <c r="G13" s="354">
        <f>1/H13</f>
        <v>6.6666666666666666E-2</v>
      </c>
      <c r="H13" s="463">
        <v>15</v>
      </c>
      <c r="I13" s="362" t="str">
        <f>+IF(AND(E13&gt;$H$6/4,H13&gt;1),G13*E13,"")</f>
        <v/>
      </c>
      <c r="J13" s="363" t="str">
        <f>IFERROR(I13/12,"")</f>
        <v/>
      </c>
      <c r="L13" s="2">
        <v>3</v>
      </c>
      <c r="M13" s="138">
        <f>+I50</f>
        <v>500</v>
      </c>
      <c r="N13" s="138">
        <f>+N12+M13</f>
        <v>1500</v>
      </c>
      <c r="O13" s="28">
        <f>+O12-M13</f>
        <v>6000</v>
      </c>
    </row>
    <row r="14" spans="1:16" x14ac:dyDescent="0.35">
      <c r="A14" s="459"/>
      <c r="B14" s="460"/>
      <c r="C14" s="461"/>
      <c r="D14" s="461"/>
      <c r="E14" s="10"/>
      <c r="G14" s="354">
        <f t="shared" ref="G14:G26" si="0">1/H14</f>
        <v>6.6666666666666666E-2</v>
      </c>
      <c r="H14" s="463">
        <v>15</v>
      </c>
      <c r="I14" s="362" t="str">
        <f t="shared" ref="I14:I39" si="1">+IF(AND(E14&gt;$H$6/4,H14&gt;1),G14*E14,"")</f>
        <v/>
      </c>
      <c r="J14" s="363" t="str">
        <f t="shared" ref="J14:J26" si="2">IFERROR(I14/12,"")</f>
        <v/>
      </c>
      <c r="L14" s="2">
        <v>4</v>
      </c>
      <c r="M14" s="138">
        <f>+I50</f>
        <v>500</v>
      </c>
      <c r="N14" s="138">
        <f>+N13+M14</f>
        <v>2000</v>
      </c>
      <c r="O14" s="28">
        <f>+O13-M14</f>
        <v>5500</v>
      </c>
    </row>
    <row r="15" spans="1:16" ht="13.9" x14ac:dyDescent="0.4">
      <c r="A15" s="459"/>
      <c r="B15" s="460"/>
      <c r="C15" s="461"/>
      <c r="D15" s="461"/>
      <c r="E15" s="10"/>
      <c r="G15" s="354">
        <f t="shared" si="0"/>
        <v>0.1</v>
      </c>
      <c r="H15" s="463">
        <v>10</v>
      </c>
      <c r="I15" s="362" t="str">
        <f t="shared" si="1"/>
        <v/>
      </c>
      <c r="J15" s="363" t="str">
        <f t="shared" si="2"/>
        <v/>
      </c>
      <c r="L15" s="2">
        <v>5</v>
      </c>
      <c r="M15" s="138">
        <f>+I50</f>
        <v>500</v>
      </c>
      <c r="N15" s="138">
        <f>+N14+M15</f>
        <v>2500</v>
      </c>
      <c r="O15" s="318">
        <f>+O14-M15</f>
        <v>5000</v>
      </c>
    </row>
    <row r="16" spans="1:16" ht="13.15" x14ac:dyDescent="0.4">
      <c r="A16" s="459"/>
      <c r="B16" s="460"/>
      <c r="C16" s="461"/>
      <c r="D16" s="461"/>
      <c r="E16" s="10"/>
      <c r="G16" s="354">
        <f t="shared" si="0"/>
        <v>0.16666666666666666</v>
      </c>
      <c r="H16" s="463">
        <v>6</v>
      </c>
      <c r="I16" s="362" t="str">
        <f>+IF(AND(E16&gt;$H$6/4,H16&gt;1),G16*E16,"")</f>
        <v/>
      </c>
      <c r="J16" s="363" t="str">
        <f t="shared" si="2"/>
        <v/>
      </c>
      <c r="M16" s="138"/>
      <c r="N16" s="138"/>
      <c r="O16" s="140"/>
    </row>
    <row r="17" spans="1:15" ht="13.9" x14ac:dyDescent="0.4">
      <c r="A17" s="459"/>
      <c r="B17" s="460"/>
      <c r="C17" s="461"/>
      <c r="D17" s="461"/>
      <c r="E17" s="10"/>
      <c r="G17" s="354">
        <f t="shared" si="0"/>
        <v>0.33333333333333331</v>
      </c>
      <c r="H17" s="463">
        <v>3</v>
      </c>
      <c r="I17" s="362" t="str">
        <f t="shared" si="1"/>
        <v/>
      </c>
      <c r="J17" s="363" t="str">
        <f t="shared" si="2"/>
        <v/>
      </c>
      <c r="M17" s="138"/>
      <c r="N17" s="52" t="s">
        <v>94</v>
      </c>
      <c r="O17" s="140"/>
    </row>
    <row r="18" spans="1:15" ht="13.15" x14ac:dyDescent="0.4">
      <c r="A18" s="459"/>
      <c r="B18" s="460"/>
      <c r="C18" s="461"/>
      <c r="D18" s="461"/>
      <c r="E18" s="10"/>
      <c r="G18" s="354">
        <f t="shared" si="0"/>
        <v>0.33333333333333331</v>
      </c>
      <c r="H18" s="463">
        <v>3</v>
      </c>
      <c r="I18" s="362" t="str">
        <f t="shared" si="1"/>
        <v/>
      </c>
      <c r="J18" s="363" t="str">
        <f t="shared" si="2"/>
        <v/>
      </c>
      <c r="M18" s="138"/>
      <c r="N18" s="138"/>
      <c r="O18" s="140"/>
    </row>
    <row r="19" spans="1:15" ht="13.15" x14ac:dyDescent="0.4">
      <c r="A19" s="459"/>
      <c r="B19" s="460"/>
      <c r="C19" s="461"/>
      <c r="D19" s="461"/>
      <c r="E19" s="10"/>
      <c r="G19" s="354">
        <f t="shared" si="0"/>
        <v>6.6666666666666666E-2</v>
      </c>
      <c r="H19" s="463">
        <v>15</v>
      </c>
      <c r="I19" s="362" t="str">
        <f t="shared" si="1"/>
        <v/>
      </c>
      <c r="J19" s="363" t="str">
        <f t="shared" si="2"/>
        <v/>
      </c>
      <c r="M19" s="138"/>
      <c r="N19" s="138"/>
      <c r="O19" s="140"/>
    </row>
    <row r="20" spans="1:15" x14ac:dyDescent="0.35">
      <c r="A20" s="459"/>
      <c r="B20" s="460"/>
      <c r="C20" s="461"/>
      <c r="D20" s="461"/>
      <c r="E20" s="10"/>
      <c r="G20" s="354">
        <f t="shared" si="0"/>
        <v>0.16666666666666666</v>
      </c>
      <c r="H20" s="463">
        <v>6</v>
      </c>
      <c r="I20" s="362" t="str">
        <f t="shared" si="1"/>
        <v/>
      </c>
      <c r="J20" s="363" t="str">
        <f t="shared" si="2"/>
        <v/>
      </c>
    </row>
    <row r="21" spans="1:15" x14ac:dyDescent="0.35">
      <c r="A21" s="459"/>
      <c r="B21" s="460"/>
      <c r="C21" s="461"/>
      <c r="D21" s="461"/>
      <c r="E21" s="10"/>
      <c r="G21" s="354">
        <f t="shared" si="0"/>
        <v>0.14285714285714285</v>
      </c>
      <c r="H21" s="463">
        <v>7</v>
      </c>
      <c r="I21" s="362" t="str">
        <f t="shared" si="1"/>
        <v/>
      </c>
      <c r="J21" s="363" t="str">
        <f t="shared" si="2"/>
        <v/>
      </c>
    </row>
    <row r="22" spans="1:15" x14ac:dyDescent="0.35">
      <c r="A22" s="459"/>
      <c r="B22" s="460"/>
      <c r="C22" s="461"/>
      <c r="D22" s="461"/>
      <c r="E22" s="10"/>
      <c r="G22" s="354">
        <f t="shared" si="0"/>
        <v>0.1111111111111111</v>
      </c>
      <c r="H22" s="463">
        <v>9</v>
      </c>
      <c r="I22" s="362" t="str">
        <f t="shared" si="1"/>
        <v/>
      </c>
      <c r="J22" s="363" t="str">
        <f t="shared" si="2"/>
        <v/>
      </c>
    </row>
    <row r="23" spans="1:15" x14ac:dyDescent="0.35">
      <c r="A23" s="459"/>
      <c r="B23" s="460"/>
      <c r="C23" s="461"/>
      <c r="D23" s="461"/>
      <c r="E23" s="10"/>
      <c r="G23" s="354">
        <f t="shared" si="0"/>
        <v>0.2</v>
      </c>
      <c r="H23" s="463">
        <v>5</v>
      </c>
      <c r="I23" s="362" t="str">
        <f t="shared" si="1"/>
        <v/>
      </c>
      <c r="J23" s="363" t="str">
        <f t="shared" si="2"/>
        <v/>
      </c>
    </row>
    <row r="24" spans="1:15" x14ac:dyDescent="0.35">
      <c r="A24" s="459"/>
      <c r="B24" s="460"/>
      <c r="C24" s="461"/>
      <c r="D24" s="461"/>
      <c r="E24" s="10"/>
      <c r="G24" s="354">
        <f t="shared" si="0"/>
        <v>0.1</v>
      </c>
      <c r="H24" s="463">
        <v>10</v>
      </c>
      <c r="I24" s="362" t="str">
        <f t="shared" si="1"/>
        <v/>
      </c>
      <c r="J24" s="363" t="str">
        <f t="shared" si="2"/>
        <v/>
      </c>
    </row>
    <row r="25" spans="1:15" x14ac:dyDescent="0.35">
      <c r="A25" s="459"/>
      <c r="B25" s="460"/>
      <c r="C25" s="461"/>
      <c r="D25" s="461"/>
      <c r="E25" s="10"/>
      <c r="G25" s="354">
        <f t="shared" si="0"/>
        <v>0.14285714285714285</v>
      </c>
      <c r="H25" s="463">
        <v>7</v>
      </c>
      <c r="I25" s="362" t="str">
        <f t="shared" si="1"/>
        <v/>
      </c>
      <c r="J25" s="363" t="str">
        <f t="shared" si="2"/>
        <v/>
      </c>
    </row>
    <row r="26" spans="1:15" x14ac:dyDescent="0.35">
      <c r="A26" s="459"/>
      <c r="B26" s="460"/>
      <c r="C26" s="461"/>
      <c r="D26" s="462"/>
      <c r="E26" s="10"/>
      <c r="G26" s="354">
        <f t="shared" si="0"/>
        <v>0.1</v>
      </c>
      <c r="H26" s="463">
        <v>10</v>
      </c>
      <c r="I26" s="362" t="str">
        <f t="shared" si="1"/>
        <v/>
      </c>
      <c r="J26" s="363" t="str">
        <f t="shared" si="2"/>
        <v/>
      </c>
    </row>
    <row r="27" spans="1:15" ht="13.15" x14ac:dyDescent="0.4">
      <c r="A27" s="627" t="s">
        <v>95</v>
      </c>
      <c r="B27" s="628"/>
      <c r="C27" s="628"/>
      <c r="D27" s="628"/>
      <c r="E27" s="9">
        <f>SUM(E12:E26)</f>
        <v>7500</v>
      </c>
      <c r="G27" s="354"/>
      <c r="H27" s="103"/>
      <c r="I27" s="362"/>
      <c r="J27" s="107"/>
    </row>
    <row r="28" spans="1:15" ht="13.15" x14ac:dyDescent="0.4">
      <c r="A28" s="624" t="s">
        <v>96</v>
      </c>
      <c r="B28" s="625"/>
      <c r="C28" s="625"/>
      <c r="D28" s="625"/>
      <c r="E28" s="626"/>
      <c r="G28" s="354"/>
      <c r="H28" s="103"/>
      <c r="I28" s="362"/>
      <c r="J28" s="107"/>
    </row>
    <row r="29" spans="1:15" x14ac:dyDescent="0.35">
      <c r="A29" s="459"/>
      <c r="B29" s="460"/>
      <c r="C29" s="461"/>
      <c r="D29" s="461"/>
      <c r="E29" s="10">
        <f t="shared" ref="E29:E48" si="3">C29*D29</f>
        <v>0</v>
      </c>
      <c r="G29" s="354">
        <f t="shared" ref="G29:G43" si="4">1/H29</f>
        <v>0.2</v>
      </c>
      <c r="H29" s="463">
        <v>5</v>
      </c>
      <c r="I29" s="362" t="str">
        <f t="shared" si="1"/>
        <v/>
      </c>
      <c r="J29" s="363" t="str">
        <f t="shared" ref="J29:J33" si="5">IFERROR(I29/12,"")</f>
        <v/>
      </c>
    </row>
    <row r="30" spans="1:15" x14ac:dyDescent="0.35">
      <c r="A30" s="459"/>
      <c r="B30" s="460"/>
      <c r="C30" s="461"/>
      <c r="D30" s="461"/>
      <c r="E30" s="10">
        <f t="shared" si="3"/>
        <v>0</v>
      </c>
      <c r="G30" s="354">
        <f t="shared" si="4"/>
        <v>0.2</v>
      </c>
      <c r="H30" s="463">
        <v>5</v>
      </c>
      <c r="I30" s="362" t="str">
        <f t="shared" si="1"/>
        <v/>
      </c>
      <c r="J30" s="363" t="str">
        <f t="shared" si="5"/>
        <v/>
      </c>
    </row>
    <row r="31" spans="1:15" x14ac:dyDescent="0.35">
      <c r="A31" s="459"/>
      <c r="B31" s="460"/>
      <c r="C31" s="461"/>
      <c r="D31" s="461"/>
      <c r="E31" s="10">
        <f t="shared" si="3"/>
        <v>0</v>
      </c>
      <c r="G31" s="354">
        <f t="shared" si="4"/>
        <v>0.2</v>
      </c>
      <c r="H31" s="463">
        <v>5</v>
      </c>
      <c r="I31" s="362" t="str">
        <f t="shared" si="1"/>
        <v/>
      </c>
      <c r="J31" s="363" t="str">
        <f t="shared" si="5"/>
        <v/>
      </c>
    </row>
    <row r="32" spans="1:15" x14ac:dyDescent="0.35">
      <c r="A32" s="459"/>
      <c r="B32" s="460"/>
      <c r="C32" s="461"/>
      <c r="D32" s="461"/>
      <c r="E32" s="10">
        <f t="shared" si="3"/>
        <v>0</v>
      </c>
      <c r="G32" s="354">
        <f t="shared" si="4"/>
        <v>0.2</v>
      </c>
      <c r="H32" s="463">
        <v>5</v>
      </c>
      <c r="I32" s="362" t="str">
        <f t="shared" si="1"/>
        <v/>
      </c>
      <c r="J32" s="363" t="str">
        <f t="shared" si="5"/>
        <v/>
      </c>
    </row>
    <row r="33" spans="1:14" x14ac:dyDescent="0.35">
      <c r="A33" s="459"/>
      <c r="B33" s="460"/>
      <c r="C33" s="461"/>
      <c r="D33" s="461"/>
      <c r="E33" s="10">
        <f t="shared" si="3"/>
        <v>0</v>
      </c>
      <c r="G33" s="354">
        <f t="shared" si="4"/>
        <v>0.2</v>
      </c>
      <c r="H33" s="463">
        <v>5</v>
      </c>
      <c r="I33" s="362" t="str">
        <f t="shared" si="1"/>
        <v/>
      </c>
      <c r="J33" s="363" t="str">
        <f t="shared" si="5"/>
        <v/>
      </c>
    </row>
    <row r="34" spans="1:14" x14ac:dyDescent="0.35">
      <c r="A34" s="459"/>
      <c r="B34" s="460"/>
      <c r="C34" s="461"/>
      <c r="D34" s="461"/>
      <c r="E34" s="10">
        <f t="shared" si="3"/>
        <v>0</v>
      </c>
      <c r="G34" s="354">
        <f t="shared" si="4"/>
        <v>0.2</v>
      </c>
      <c r="H34" s="463">
        <v>5</v>
      </c>
      <c r="I34" s="362" t="str">
        <f t="shared" si="1"/>
        <v/>
      </c>
      <c r="J34" s="363" t="str">
        <f t="shared" ref="J34:J43" si="6">IFERROR(I34/12,"")</f>
        <v/>
      </c>
    </row>
    <row r="35" spans="1:14" x14ac:dyDescent="0.35">
      <c r="A35" s="459"/>
      <c r="B35" s="460"/>
      <c r="C35" s="461"/>
      <c r="D35" s="461"/>
      <c r="E35" s="10">
        <f t="shared" si="3"/>
        <v>0</v>
      </c>
      <c r="G35" s="354">
        <f t="shared" si="4"/>
        <v>0.2</v>
      </c>
      <c r="H35" s="463">
        <v>5</v>
      </c>
      <c r="I35" s="362" t="str">
        <f t="shared" si="1"/>
        <v/>
      </c>
      <c r="J35" s="363" t="str">
        <f t="shared" si="6"/>
        <v/>
      </c>
    </row>
    <row r="36" spans="1:14" x14ac:dyDescent="0.35">
      <c r="A36" s="459"/>
      <c r="B36" s="460"/>
      <c r="C36" s="461"/>
      <c r="D36" s="461"/>
      <c r="E36" s="10">
        <f t="shared" si="3"/>
        <v>0</v>
      </c>
      <c r="G36" s="354">
        <f t="shared" si="4"/>
        <v>0.2</v>
      </c>
      <c r="H36" s="463">
        <v>5</v>
      </c>
      <c r="I36" s="362" t="str">
        <f t="shared" si="1"/>
        <v/>
      </c>
      <c r="J36" s="363" t="str">
        <f t="shared" si="6"/>
        <v/>
      </c>
    </row>
    <row r="37" spans="1:14" x14ac:dyDescent="0.35">
      <c r="A37" s="459"/>
      <c r="B37" s="460"/>
      <c r="C37" s="461"/>
      <c r="D37" s="461"/>
      <c r="E37" s="10">
        <f t="shared" si="3"/>
        <v>0</v>
      </c>
      <c r="G37" s="354">
        <f t="shared" si="4"/>
        <v>0.2</v>
      </c>
      <c r="H37" s="463">
        <v>5</v>
      </c>
      <c r="I37" s="362" t="str">
        <f t="shared" si="1"/>
        <v/>
      </c>
      <c r="J37" s="363" t="str">
        <f t="shared" si="6"/>
        <v/>
      </c>
    </row>
    <row r="38" spans="1:14" x14ac:dyDescent="0.35">
      <c r="A38" s="459"/>
      <c r="B38" s="460"/>
      <c r="C38" s="461"/>
      <c r="D38" s="461"/>
      <c r="E38" s="10">
        <f t="shared" si="3"/>
        <v>0</v>
      </c>
      <c r="G38" s="354">
        <f t="shared" si="4"/>
        <v>0.2</v>
      </c>
      <c r="H38" s="463">
        <v>5</v>
      </c>
      <c r="I38" s="362" t="str">
        <f t="shared" si="1"/>
        <v/>
      </c>
      <c r="J38" s="363" t="str">
        <f t="shared" si="6"/>
        <v/>
      </c>
    </row>
    <row r="39" spans="1:14" x14ac:dyDescent="0.35">
      <c r="A39" s="459"/>
      <c r="B39" s="460"/>
      <c r="C39" s="461"/>
      <c r="D39" s="461"/>
      <c r="E39" s="10">
        <f t="shared" si="3"/>
        <v>0</v>
      </c>
      <c r="G39" s="354">
        <f t="shared" si="4"/>
        <v>0.2</v>
      </c>
      <c r="H39" s="463">
        <v>5</v>
      </c>
      <c r="I39" s="362" t="str">
        <f t="shared" si="1"/>
        <v/>
      </c>
      <c r="J39" s="363" t="str">
        <f t="shared" si="6"/>
        <v/>
      </c>
    </row>
    <row r="40" spans="1:14" x14ac:dyDescent="0.35">
      <c r="A40" s="459"/>
      <c r="B40" s="460"/>
      <c r="C40" s="461"/>
      <c r="D40" s="461"/>
      <c r="E40" s="10">
        <f t="shared" si="3"/>
        <v>0</v>
      </c>
      <c r="G40" s="354">
        <f t="shared" si="4"/>
        <v>0.2</v>
      </c>
      <c r="H40" s="463">
        <v>5</v>
      </c>
      <c r="I40" s="362" t="str">
        <f>+IF(AND(E40&gt;$H$6/4,H40&gt;1),G40*E40,"")</f>
        <v/>
      </c>
      <c r="J40" s="363" t="str">
        <f t="shared" si="6"/>
        <v/>
      </c>
    </row>
    <row r="41" spans="1:14" x14ac:dyDescent="0.35">
      <c r="A41" s="459"/>
      <c r="B41" s="460"/>
      <c r="C41" s="461"/>
      <c r="D41" s="461"/>
      <c r="E41" s="10">
        <f t="shared" si="3"/>
        <v>0</v>
      </c>
      <c r="G41" s="354">
        <f t="shared" si="4"/>
        <v>0.2</v>
      </c>
      <c r="H41" s="463">
        <v>5</v>
      </c>
      <c r="I41" s="362" t="str">
        <f>+IF(AND(E41&gt;$H$6/4,H41&gt;1),G41*E41,"")</f>
        <v/>
      </c>
      <c r="J41" s="363" t="str">
        <f t="shared" si="6"/>
        <v/>
      </c>
    </row>
    <row r="42" spans="1:14" x14ac:dyDescent="0.35">
      <c r="A42" s="459"/>
      <c r="B42" s="460"/>
      <c r="C42" s="461"/>
      <c r="D42" s="461"/>
      <c r="E42" s="10">
        <f t="shared" si="3"/>
        <v>0</v>
      </c>
      <c r="G42" s="354">
        <f t="shared" si="4"/>
        <v>0.2</v>
      </c>
      <c r="H42" s="463">
        <v>5</v>
      </c>
      <c r="I42" s="362" t="str">
        <f>+IF(AND(E42&gt;$H$6/4,H42&gt;1),G42*E42,"")</f>
        <v/>
      </c>
      <c r="J42" s="363" t="str">
        <f t="shared" si="6"/>
        <v/>
      </c>
    </row>
    <row r="43" spans="1:14" x14ac:dyDescent="0.35">
      <c r="A43" s="459"/>
      <c r="B43" s="460"/>
      <c r="C43" s="461"/>
      <c r="D43" s="461"/>
      <c r="E43" s="10">
        <f t="shared" si="3"/>
        <v>0</v>
      </c>
      <c r="G43" s="354">
        <f t="shared" si="4"/>
        <v>0.2</v>
      </c>
      <c r="H43" s="463">
        <v>5</v>
      </c>
      <c r="I43" s="362" t="str">
        <f>+IF(AND(E43&gt;$H$6/4,H43&gt;1),G43*E43,"")</f>
        <v/>
      </c>
      <c r="J43" s="363" t="str">
        <f t="shared" si="6"/>
        <v/>
      </c>
    </row>
    <row r="44" spans="1:14" x14ac:dyDescent="0.35">
      <c r="A44" s="459"/>
      <c r="B44" s="460"/>
      <c r="C44" s="461"/>
      <c r="D44" s="461"/>
      <c r="E44" s="10">
        <f t="shared" si="3"/>
        <v>0</v>
      </c>
      <c r="G44" s="354"/>
      <c r="H44" s="463"/>
      <c r="I44" s="362"/>
      <c r="J44" s="363"/>
    </row>
    <row r="45" spans="1:14" x14ac:dyDescent="0.35">
      <c r="A45" s="459"/>
      <c r="B45" s="460"/>
      <c r="C45" s="461"/>
      <c r="D45" s="461"/>
      <c r="E45" s="10">
        <f t="shared" si="3"/>
        <v>0</v>
      </c>
      <c r="G45" s="354"/>
      <c r="H45" s="463"/>
      <c r="I45" s="362"/>
      <c r="J45" s="363"/>
    </row>
    <row r="46" spans="1:14" x14ac:dyDescent="0.35">
      <c r="A46" s="459"/>
      <c r="B46" s="460"/>
      <c r="C46" s="461"/>
      <c r="D46" s="461"/>
      <c r="E46" s="10">
        <f t="shared" si="3"/>
        <v>0</v>
      </c>
      <c r="G46" s="354"/>
      <c r="H46" s="463"/>
      <c r="I46" s="362"/>
      <c r="J46" s="363"/>
    </row>
    <row r="47" spans="1:14" x14ac:dyDescent="0.35">
      <c r="A47" s="459"/>
      <c r="B47" s="460"/>
      <c r="C47" s="461"/>
      <c r="D47" s="462"/>
      <c r="E47" s="10">
        <f t="shared" si="3"/>
        <v>0</v>
      </c>
      <c r="G47" s="354"/>
      <c r="H47" s="463"/>
      <c r="I47" s="362"/>
      <c r="J47" s="363"/>
    </row>
    <row r="48" spans="1:14" x14ac:dyDescent="0.35">
      <c r="A48" s="459"/>
      <c r="B48" s="460"/>
      <c r="C48" s="461"/>
      <c r="D48" s="462"/>
      <c r="E48" s="10">
        <f t="shared" si="3"/>
        <v>0</v>
      </c>
      <c r="G48" s="354"/>
      <c r="H48" s="463"/>
      <c r="I48" s="362"/>
      <c r="J48" s="363"/>
      <c r="N48" s="138"/>
    </row>
    <row r="49" spans="1:13" ht="13.15" x14ac:dyDescent="0.4">
      <c r="A49" s="68"/>
      <c r="B49" s="65"/>
      <c r="C49" s="66"/>
      <c r="D49" s="67"/>
      <c r="E49" s="10"/>
      <c r="G49" s="355"/>
      <c r="H49" s="70"/>
      <c r="I49" s="102"/>
      <c r="J49" s="107"/>
    </row>
    <row r="50" spans="1:13" ht="13.5" thickBot="1" x14ac:dyDescent="0.45">
      <c r="A50" s="627" t="s">
        <v>95</v>
      </c>
      <c r="B50" s="628"/>
      <c r="C50" s="628"/>
      <c r="D50" s="628"/>
      <c r="E50" s="9">
        <f>SUM(E29:E49)</f>
        <v>0</v>
      </c>
      <c r="G50" s="317" t="s">
        <v>29</v>
      </c>
      <c r="H50" s="112" t="s">
        <v>82</v>
      </c>
      <c r="I50" s="111">
        <f>SUM(I9:I49)</f>
        <v>500</v>
      </c>
      <c r="J50" s="364">
        <f>SUM(J9:J49)</f>
        <v>41.666666666666664</v>
      </c>
    </row>
    <row r="51" spans="1:13" ht="13.15" x14ac:dyDescent="0.4">
      <c r="A51" s="624" t="s">
        <v>97</v>
      </c>
      <c r="B51" s="625"/>
      <c r="C51" s="625"/>
      <c r="D51" s="625"/>
      <c r="E51" s="626"/>
    </row>
    <row r="52" spans="1:13" ht="15" x14ac:dyDescent="0.4">
      <c r="A52" s="358" t="s">
        <v>98</v>
      </c>
      <c r="B52" s="359" t="s">
        <v>99</v>
      </c>
      <c r="C52" s="461">
        <v>1</v>
      </c>
      <c r="D52" s="361">
        <f>+Costos!F113</f>
        <v>0</v>
      </c>
      <c r="E52" s="10">
        <f>+D52*C52</f>
        <v>0</v>
      </c>
      <c r="G52" s="220" t="s">
        <v>100</v>
      </c>
      <c r="H52" s="35"/>
      <c r="I52" s="318">
        <f>+O15</f>
        <v>5000</v>
      </c>
    </row>
    <row r="53" spans="1:13" ht="15" x14ac:dyDescent="0.4">
      <c r="A53" s="358" t="s">
        <v>101</v>
      </c>
      <c r="B53" s="359" t="s">
        <v>99</v>
      </c>
      <c r="C53" s="461">
        <v>1</v>
      </c>
      <c r="D53" s="361">
        <f>+Costos!G30</f>
        <v>2890.833333333333</v>
      </c>
      <c r="E53" s="10">
        <f>+D53*C53</f>
        <v>2890.833333333333</v>
      </c>
      <c r="G53" s="220" t="s">
        <v>102</v>
      </c>
      <c r="H53" s="35"/>
      <c r="I53" s="35"/>
    </row>
    <row r="54" spans="1:13" x14ac:dyDescent="0.35">
      <c r="A54" s="358"/>
      <c r="B54" s="359"/>
      <c r="C54" s="360"/>
      <c r="D54" s="361"/>
      <c r="E54" s="10"/>
    </row>
    <row r="55" spans="1:13" ht="13.15" x14ac:dyDescent="0.4">
      <c r="A55" s="627" t="s">
        <v>95</v>
      </c>
      <c r="B55" s="628"/>
      <c r="C55" s="628"/>
      <c r="D55" s="628"/>
      <c r="E55" s="9">
        <f>SUM(E52:E54)</f>
        <v>2890.833333333333</v>
      </c>
    </row>
    <row r="56" spans="1:13" ht="13.15" x14ac:dyDescent="0.4">
      <c r="A56" s="624" t="s">
        <v>103</v>
      </c>
      <c r="B56" s="625"/>
      <c r="C56" s="625"/>
      <c r="D56" s="625"/>
      <c r="E56" s="626"/>
      <c r="M56" s="28"/>
    </row>
    <row r="57" spans="1:13" x14ac:dyDescent="0.35">
      <c r="A57" s="465" t="s">
        <v>104</v>
      </c>
      <c r="B57" s="463" t="s">
        <v>93</v>
      </c>
      <c r="C57" s="466">
        <v>1</v>
      </c>
      <c r="D57" s="462">
        <v>500</v>
      </c>
      <c r="E57" s="10">
        <f>+D57*C57</f>
        <v>500</v>
      </c>
      <c r="M57" s="28"/>
    </row>
    <row r="58" spans="1:13" x14ac:dyDescent="0.35">
      <c r="A58" s="465" t="s">
        <v>105</v>
      </c>
      <c r="B58" s="463" t="s">
        <v>93</v>
      </c>
      <c r="C58" s="466">
        <v>1</v>
      </c>
      <c r="D58" s="462">
        <v>4400</v>
      </c>
      <c r="E58" s="10">
        <f>+D58*C58</f>
        <v>4400</v>
      </c>
      <c r="M58" s="28"/>
    </row>
    <row r="59" spans="1:13" x14ac:dyDescent="0.35">
      <c r="A59" s="465" t="s">
        <v>106</v>
      </c>
      <c r="B59" s="463" t="s">
        <v>93</v>
      </c>
      <c r="C59" s="466">
        <v>1</v>
      </c>
      <c r="D59" s="462">
        <v>1000</v>
      </c>
      <c r="E59" s="10">
        <f>+D59</f>
        <v>1000</v>
      </c>
      <c r="G59" s="2" t="s">
        <v>33</v>
      </c>
      <c r="M59" s="28"/>
    </row>
    <row r="60" spans="1:13" ht="13.15" x14ac:dyDescent="0.4">
      <c r="A60" s="465"/>
      <c r="B60" s="460"/>
      <c r="C60" s="461"/>
      <c r="D60" s="462"/>
      <c r="E60" s="10"/>
      <c r="G60" s="70" t="s">
        <v>107</v>
      </c>
      <c r="H60" s="72">
        <v>0.1</v>
      </c>
      <c r="I60" s="73">
        <f>+E61</f>
        <v>5900</v>
      </c>
      <c r="J60" s="73">
        <f>+I60*H60</f>
        <v>590</v>
      </c>
      <c r="K60" s="184">
        <f>+J60/12</f>
        <v>49.166666666666664</v>
      </c>
    </row>
    <row r="61" spans="1:13" ht="13.5" thickBot="1" x14ac:dyDescent="0.45">
      <c r="A61" s="627" t="s">
        <v>95</v>
      </c>
      <c r="B61" s="628"/>
      <c r="C61" s="628"/>
      <c r="D61" s="628"/>
      <c r="E61" s="9">
        <f>SUM(E57:E60)</f>
        <v>5900</v>
      </c>
    </row>
    <row r="62" spans="1:13" ht="17.25" thickBot="1" x14ac:dyDescent="0.55000000000000004">
      <c r="A62" s="629" t="s">
        <v>108</v>
      </c>
      <c r="B62" s="630"/>
      <c r="C62" s="630"/>
      <c r="D62" s="630"/>
      <c r="E62" s="356">
        <f>+E10+E55+E61</f>
        <v>16290.833333333332</v>
      </c>
    </row>
    <row r="63" spans="1:13" x14ac:dyDescent="0.35">
      <c r="H63" s="54"/>
      <c r="I63" s="28"/>
      <c r="J63" s="28"/>
      <c r="L63" s="28"/>
    </row>
    <row r="64" spans="1:13" ht="13.15" x14ac:dyDescent="0.4">
      <c r="A64" s="8"/>
      <c r="I64" s="28"/>
      <c r="L64" s="28"/>
    </row>
    <row r="65" spans="1:12" ht="12.75" customHeight="1" x14ac:dyDescent="0.35">
      <c r="A65" s="234" t="s">
        <v>109</v>
      </c>
      <c r="I65" s="28"/>
      <c r="L65" s="28"/>
    </row>
    <row r="66" spans="1:12" ht="22.5" customHeight="1" x14ac:dyDescent="0.4">
      <c r="A66" s="232" t="s">
        <v>110</v>
      </c>
      <c r="B66" s="191"/>
      <c r="I66" s="28"/>
      <c r="L66" s="28"/>
    </row>
    <row r="67" spans="1:12" ht="13.15" thickBot="1" x14ac:dyDescent="0.4">
      <c r="A67" s="75"/>
      <c r="B67" s="75"/>
      <c r="C67" s="75"/>
      <c r="D67" s="75"/>
    </row>
    <row r="68" spans="1:12" ht="30" x14ac:dyDescent="0.35">
      <c r="A68" s="192" t="s">
        <v>24</v>
      </c>
      <c r="B68" s="236" t="s">
        <v>27</v>
      </c>
      <c r="C68" s="236" t="s">
        <v>28</v>
      </c>
      <c r="D68" s="236" t="s">
        <v>29</v>
      </c>
      <c r="E68" s="242" t="s">
        <v>111</v>
      </c>
    </row>
    <row r="69" spans="1:12" ht="15" customHeight="1" x14ac:dyDescent="0.4">
      <c r="A69" s="196" t="s">
        <v>31</v>
      </c>
      <c r="B69" s="237"/>
      <c r="C69" s="197"/>
      <c r="D69" s="197"/>
      <c r="E69" s="198"/>
    </row>
    <row r="70" spans="1:12" ht="13.15" x14ac:dyDescent="0.4">
      <c r="A70" s="235" t="s">
        <v>32</v>
      </c>
      <c r="B70" s="173">
        <f>+E10</f>
        <v>7500</v>
      </c>
      <c r="C70" s="200">
        <v>0</v>
      </c>
      <c r="D70" s="239">
        <f>+B70+C70</f>
        <v>7500</v>
      </c>
      <c r="E70" s="243">
        <f>+D70/D75</f>
        <v>0.46038160519719684</v>
      </c>
    </row>
    <row r="71" spans="1:12" ht="13.15" x14ac:dyDescent="0.4">
      <c r="A71" s="235" t="s">
        <v>33</v>
      </c>
      <c r="B71" s="173">
        <f>+E61</f>
        <v>5900</v>
      </c>
      <c r="C71" s="200">
        <v>0</v>
      </c>
      <c r="D71" s="239">
        <f>+B71+C71</f>
        <v>5900</v>
      </c>
      <c r="E71" s="243">
        <f>+D71/D75</f>
        <v>0.36216686275512816</v>
      </c>
    </row>
    <row r="72" spans="1:12" ht="13.15" x14ac:dyDescent="0.4">
      <c r="A72" s="235" t="s">
        <v>34</v>
      </c>
      <c r="B72" s="173">
        <f>+E55</f>
        <v>2890.833333333333</v>
      </c>
      <c r="C72" s="200">
        <v>0</v>
      </c>
      <c r="D72" s="239">
        <f>+B72+C72</f>
        <v>2890.833333333333</v>
      </c>
      <c r="E72" s="243">
        <f>+D72/D75</f>
        <v>0.17745153204767508</v>
      </c>
    </row>
    <row r="73" spans="1:12" x14ac:dyDescent="0.35">
      <c r="A73" s="199"/>
      <c r="B73" s="168"/>
      <c r="C73" s="200"/>
      <c r="D73" s="200"/>
      <c r="E73" s="244"/>
    </row>
    <row r="74" spans="1:12" x14ac:dyDescent="0.35">
      <c r="A74" s="235" t="s">
        <v>35</v>
      </c>
      <c r="B74" s="241">
        <f>+B75/D75</f>
        <v>1</v>
      </c>
      <c r="C74" s="240">
        <f>+C75/D75</f>
        <v>0</v>
      </c>
      <c r="D74" s="240">
        <f>+B74+C74</f>
        <v>1</v>
      </c>
      <c r="E74" s="243">
        <f>SUM(E70:E73)</f>
        <v>1</v>
      </c>
    </row>
    <row r="75" spans="1:12" ht="15.4" thickBot="1" x14ac:dyDescent="0.4">
      <c r="A75" s="201" t="s">
        <v>36</v>
      </c>
      <c r="B75" s="238">
        <f>SUM(B70:B72)</f>
        <v>16290.833333333332</v>
      </c>
      <c r="C75" s="238">
        <f>SUM(C70:C72)</f>
        <v>0</v>
      </c>
      <c r="D75" s="238">
        <f>SUM(D70:D72)</f>
        <v>16290.833333333332</v>
      </c>
      <c r="E75" s="202"/>
    </row>
    <row r="76" spans="1:12" ht="15" customHeight="1" x14ac:dyDescent="0.35">
      <c r="A76" s="233" t="s">
        <v>112</v>
      </c>
    </row>
    <row r="80" spans="1:12" ht="21" customHeight="1" x14ac:dyDescent="0.35">
      <c r="A80" s="234" t="s">
        <v>113</v>
      </c>
    </row>
    <row r="81" spans="1:8" ht="21" customHeight="1" x14ac:dyDescent="0.4">
      <c r="A81" s="232" t="s">
        <v>110</v>
      </c>
      <c r="B81" s="191"/>
    </row>
    <row r="82" spans="1:8" ht="13.15" thickBot="1" x14ac:dyDescent="0.4">
      <c r="A82" s="75"/>
      <c r="B82" s="75"/>
      <c r="C82" s="75"/>
      <c r="D82" s="75"/>
      <c r="E82" s="75"/>
    </row>
    <row r="83" spans="1:8" ht="45.4" thickBot="1" x14ac:dyDescent="0.4">
      <c r="A83" s="192" t="s">
        <v>24</v>
      </c>
      <c r="B83" s="193"/>
      <c r="C83" s="194" t="s">
        <v>25</v>
      </c>
      <c r="D83" s="194" t="s">
        <v>25</v>
      </c>
      <c r="E83" s="195" t="s">
        <v>26</v>
      </c>
    </row>
    <row r="84" spans="1:8" ht="30" x14ac:dyDescent="0.35">
      <c r="A84" s="192" t="s">
        <v>24</v>
      </c>
      <c r="B84" s="236" t="s">
        <v>27</v>
      </c>
      <c r="C84" s="236" t="s">
        <v>28</v>
      </c>
      <c r="D84" s="236" t="s">
        <v>29</v>
      </c>
      <c r="E84" s="242" t="s">
        <v>30</v>
      </c>
    </row>
    <row r="85" spans="1:8" ht="13.15" x14ac:dyDescent="0.4">
      <c r="A85" s="196" t="s">
        <v>31</v>
      </c>
      <c r="B85" s="237"/>
      <c r="C85" s="197"/>
      <c r="D85" s="197"/>
      <c r="E85" s="198"/>
    </row>
    <row r="86" spans="1:8" ht="13.15" x14ac:dyDescent="0.4">
      <c r="A86" s="235" t="s">
        <v>32</v>
      </c>
      <c r="B86" s="333">
        <f>+D86-C86</f>
        <v>3000</v>
      </c>
      <c r="C86" s="333">
        <f>+D86*$C$90</f>
        <v>4500</v>
      </c>
      <c r="D86" s="331">
        <f>+D70</f>
        <v>7500</v>
      </c>
      <c r="E86" s="243">
        <f>+D86/D91</f>
        <v>0.46038160519719684</v>
      </c>
    </row>
    <row r="87" spans="1:8" ht="13.15" x14ac:dyDescent="0.4">
      <c r="A87" s="235" t="s">
        <v>33</v>
      </c>
      <c r="B87" s="333">
        <f>+D87-C87</f>
        <v>2360</v>
      </c>
      <c r="C87" s="333">
        <f t="shared" ref="C87:C88" si="7">+D87*$C$90</f>
        <v>3540</v>
      </c>
      <c r="D87" s="331">
        <f>+D71</f>
        <v>5900</v>
      </c>
      <c r="E87" s="243">
        <f>+D87/D91</f>
        <v>0.36216686275512816</v>
      </c>
    </row>
    <row r="88" spans="1:8" ht="13.15" x14ac:dyDescent="0.4">
      <c r="A88" s="235" t="s">
        <v>34</v>
      </c>
      <c r="B88" s="333">
        <f t="shared" ref="B88" si="8">+D88-C88</f>
        <v>1156.3333333333333</v>
      </c>
      <c r="C88" s="333">
        <f t="shared" si="7"/>
        <v>1734.4999999999998</v>
      </c>
      <c r="D88" s="331">
        <f>+D72</f>
        <v>2890.833333333333</v>
      </c>
      <c r="E88" s="243">
        <f>+D88/D91</f>
        <v>0.17745153204767508</v>
      </c>
      <c r="G88" s="309"/>
      <c r="H88" s="28"/>
    </row>
    <row r="89" spans="1:8" x14ac:dyDescent="0.35">
      <c r="A89" s="199"/>
      <c r="B89" s="170"/>
      <c r="C89" s="332"/>
      <c r="D89" s="200"/>
      <c r="E89" s="244"/>
    </row>
    <row r="90" spans="1:8" x14ac:dyDescent="0.35">
      <c r="A90" s="235" t="s">
        <v>35</v>
      </c>
      <c r="B90" s="241">
        <v>0.4</v>
      </c>
      <c r="C90" s="240">
        <v>0.6</v>
      </c>
      <c r="D90" s="240">
        <f>+B90+C90</f>
        <v>1</v>
      </c>
      <c r="E90" s="243">
        <f>SUM(E86:E89)</f>
        <v>1</v>
      </c>
    </row>
    <row r="91" spans="1:8" ht="15.4" thickBot="1" x14ac:dyDescent="0.4">
      <c r="A91" s="201" t="s">
        <v>36</v>
      </c>
      <c r="B91" s="238">
        <f>SUM(B86:B88)</f>
        <v>6516.333333333333</v>
      </c>
      <c r="C91" s="238">
        <f>SUM(C86:C88)</f>
        <v>9774.5</v>
      </c>
      <c r="D91" s="238">
        <f>SUM(D86:D88)</f>
        <v>16290.833333333332</v>
      </c>
      <c r="E91" s="202"/>
    </row>
    <row r="92" spans="1:8" ht="13.15" x14ac:dyDescent="0.35">
      <c r="A92" s="233" t="s">
        <v>327</v>
      </c>
    </row>
    <row r="93" spans="1:8" x14ac:dyDescent="0.35">
      <c r="A93" s="2" t="s">
        <v>114</v>
      </c>
      <c r="D93" s="28"/>
    </row>
  </sheetData>
  <sheetProtection insertRows="0"/>
  <mergeCells count="12">
    <mergeCell ref="A5:E5"/>
    <mergeCell ref="G8:J8"/>
    <mergeCell ref="A56:E56"/>
    <mergeCell ref="A61:D61"/>
    <mergeCell ref="A62:D62"/>
    <mergeCell ref="A7:E7"/>
    <mergeCell ref="A27:D27"/>
    <mergeCell ref="A50:D50"/>
    <mergeCell ref="A11:E11"/>
    <mergeCell ref="A28:E28"/>
    <mergeCell ref="A51:E51"/>
    <mergeCell ref="A55:D55"/>
  </mergeCells>
  <dataValidations count="1">
    <dataValidation type="textLength" allowBlank="1" showInputMessage="1" showErrorMessage="1" error="DATO AUTOMATICO" sqref="I49:J50 E91 E75 J27:J28" xr:uid="{00000000-0002-0000-0300-000000000000}">
      <formula1>0</formula1>
      <formula2>0</formula2>
    </dataValidation>
  </dataValidations>
  <pageMargins left="0.75" right="0.75" top="1" bottom="1" header="0" footer="0"/>
  <pageSetup paperSize="9" scale="90" orientation="portrait" horizontalDpi="360" verticalDpi="360" r:id="rId1"/>
  <headerFooter alignWithMargins="0">
    <oddFooter>&amp;CInversiones - Plan de Negocio
SYSA Cultura Emprendedora
www.culturaemprendedora.com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M113"/>
  <sheetViews>
    <sheetView topLeftCell="A12" zoomScale="85" zoomScaleNormal="85" workbookViewId="0">
      <selection activeCell="C111" sqref="C111"/>
    </sheetView>
  </sheetViews>
  <sheetFormatPr baseColWidth="10" defaultColWidth="11.46484375" defaultRowHeight="14.25" x14ac:dyDescent="0.45"/>
  <cols>
    <col min="1" max="2" width="11.46484375" style="150"/>
    <col min="3" max="3" width="88.19921875" style="150" bestFit="1" customWidth="1"/>
    <col min="4" max="5" width="11.46484375" style="150"/>
    <col min="6" max="6" width="15.53125" style="150" customWidth="1"/>
    <col min="7" max="7" width="11.46484375" style="150"/>
    <col min="8" max="8" width="41.46484375" style="150" bestFit="1" customWidth="1"/>
    <col min="9" max="9" width="38.86328125" style="150" bestFit="1" customWidth="1"/>
    <col min="10" max="15" width="11.46484375" style="150"/>
    <col min="16" max="16" width="14.46484375" style="150" customWidth="1"/>
    <col min="17" max="259" width="11.46484375" style="150"/>
    <col min="260" max="260" width="27.6640625" style="150" customWidth="1"/>
    <col min="261" max="515" width="11.46484375" style="150"/>
    <col min="516" max="516" width="27.6640625" style="150" customWidth="1"/>
    <col min="517" max="771" width="11.46484375" style="150"/>
    <col min="772" max="772" width="27.6640625" style="150" customWidth="1"/>
    <col min="773" max="1027" width="11.46484375" style="150"/>
    <col min="1028" max="1028" width="27.6640625" style="150" customWidth="1"/>
    <col min="1029" max="1283" width="11.46484375" style="150"/>
    <col min="1284" max="1284" width="27.6640625" style="150" customWidth="1"/>
    <col min="1285" max="1539" width="11.46484375" style="150"/>
    <col min="1540" max="1540" width="27.6640625" style="150" customWidth="1"/>
    <col min="1541" max="1795" width="11.46484375" style="150"/>
    <col min="1796" max="1796" width="27.6640625" style="150" customWidth="1"/>
    <col min="1797" max="2051" width="11.46484375" style="150"/>
    <col min="2052" max="2052" width="27.6640625" style="150" customWidth="1"/>
    <col min="2053" max="2307" width="11.46484375" style="150"/>
    <col min="2308" max="2308" width="27.6640625" style="150" customWidth="1"/>
    <col min="2309" max="2563" width="11.46484375" style="150"/>
    <col min="2564" max="2564" width="27.6640625" style="150" customWidth="1"/>
    <col min="2565" max="2819" width="11.46484375" style="150"/>
    <col min="2820" max="2820" width="27.6640625" style="150" customWidth="1"/>
    <col min="2821" max="3075" width="11.46484375" style="150"/>
    <col min="3076" max="3076" width="27.6640625" style="150" customWidth="1"/>
    <col min="3077" max="3331" width="11.46484375" style="150"/>
    <col min="3332" max="3332" width="27.6640625" style="150" customWidth="1"/>
    <col min="3333" max="3587" width="11.46484375" style="150"/>
    <col min="3588" max="3588" width="27.6640625" style="150" customWidth="1"/>
    <col min="3589" max="3843" width="11.46484375" style="150"/>
    <col min="3844" max="3844" width="27.6640625" style="150" customWidth="1"/>
    <col min="3845" max="4099" width="11.46484375" style="150"/>
    <col min="4100" max="4100" width="27.6640625" style="150" customWidth="1"/>
    <col min="4101" max="4355" width="11.46484375" style="150"/>
    <col min="4356" max="4356" width="27.6640625" style="150" customWidth="1"/>
    <col min="4357" max="4611" width="11.46484375" style="150"/>
    <col min="4612" max="4612" width="27.6640625" style="150" customWidth="1"/>
    <col min="4613" max="4867" width="11.46484375" style="150"/>
    <col min="4868" max="4868" width="27.6640625" style="150" customWidth="1"/>
    <col min="4869" max="5123" width="11.46484375" style="150"/>
    <col min="5124" max="5124" width="27.6640625" style="150" customWidth="1"/>
    <col min="5125" max="5379" width="11.46484375" style="150"/>
    <col min="5380" max="5380" width="27.6640625" style="150" customWidth="1"/>
    <col min="5381" max="5635" width="11.46484375" style="150"/>
    <col min="5636" max="5636" width="27.6640625" style="150" customWidth="1"/>
    <col min="5637" max="5891" width="11.46484375" style="150"/>
    <col min="5892" max="5892" width="27.6640625" style="150" customWidth="1"/>
    <col min="5893" max="6147" width="11.46484375" style="150"/>
    <col min="6148" max="6148" width="27.6640625" style="150" customWidth="1"/>
    <col min="6149" max="6403" width="11.46484375" style="150"/>
    <col min="6404" max="6404" width="27.6640625" style="150" customWidth="1"/>
    <col min="6405" max="6659" width="11.46484375" style="150"/>
    <col min="6660" max="6660" width="27.6640625" style="150" customWidth="1"/>
    <col min="6661" max="6915" width="11.46484375" style="150"/>
    <col min="6916" max="6916" width="27.6640625" style="150" customWidth="1"/>
    <col min="6917" max="7171" width="11.46484375" style="150"/>
    <col min="7172" max="7172" width="27.6640625" style="150" customWidth="1"/>
    <col min="7173" max="7427" width="11.46484375" style="150"/>
    <col min="7428" max="7428" width="27.6640625" style="150" customWidth="1"/>
    <col min="7429" max="7683" width="11.46484375" style="150"/>
    <col min="7684" max="7684" width="27.6640625" style="150" customWidth="1"/>
    <col min="7685" max="7939" width="11.46484375" style="150"/>
    <col min="7940" max="7940" width="27.6640625" style="150" customWidth="1"/>
    <col min="7941" max="8195" width="11.46484375" style="150"/>
    <col min="8196" max="8196" width="27.6640625" style="150" customWidth="1"/>
    <col min="8197" max="8451" width="11.46484375" style="150"/>
    <col min="8452" max="8452" width="27.6640625" style="150" customWidth="1"/>
    <col min="8453" max="8707" width="11.46484375" style="150"/>
    <col min="8708" max="8708" width="27.6640625" style="150" customWidth="1"/>
    <col min="8709" max="8963" width="11.46484375" style="150"/>
    <col min="8964" max="8964" width="27.6640625" style="150" customWidth="1"/>
    <col min="8965" max="9219" width="11.46484375" style="150"/>
    <col min="9220" max="9220" width="27.6640625" style="150" customWidth="1"/>
    <col min="9221" max="9475" width="11.46484375" style="150"/>
    <col min="9476" max="9476" width="27.6640625" style="150" customWidth="1"/>
    <col min="9477" max="9731" width="11.46484375" style="150"/>
    <col min="9732" max="9732" width="27.6640625" style="150" customWidth="1"/>
    <col min="9733" max="9987" width="11.46484375" style="150"/>
    <col min="9988" max="9988" width="27.6640625" style="150" customWidth="1"/>
    <col min="9989" max="10243" width="11.46484375" style="150"/>
    <col min="10244" max="10244" width="27.6640625" style="150" customWidth="1"/>
    <col min="10245" max="10499" width="11.46484375" style="150"/>
    <col min="10500" max="10500" width="27.6640625" style="150" customWidth="1"/>
    <col min="10501" max="10755" width="11.46484375" style="150"/>
    <col min="10756" max="10756" width="27.6640625" style="150" customWidth="1"/>
    <col min="10757" max="11011" width="11.46484375" style="150"/>
    <col min="11012" max="11012" width="27.6640625" style="150" customWidth="1"/>
    <col min="11013" max="11267" width="11.46484375" style="150"/>
    <col min="11268" max="11268" width="27.6640625" style="150" customWidth="1"/>
    <col min="11269" max="11523" width="11.46484375" style="150"/>
    <col min="11524" max="11524" width="27.6640625" style="150" customWidth="1"/>
    <col min="11525" max="11779" width="11.46484375" style="150"/>
    <col min="11780" max="11780" width="27.6640625" style="150" customWidth="1"/>
    <col min="11781" max="12035" width="11.46484375" style="150"/>
    <col min="12036" max="12036" width="27.6640625" style="150" customWidth="1"/>
    <col min="12037" max="12291" width="11.46484375" style="150"/>
    <col min="12292" max="12292" width="27.6640625" style="150" customWidth="1"/>
    <col min="12293" max="12547" width="11.46484375" style="150"/>
    <col min="12548" max="12548" width="27.6640625" style="150" customWidth="1"/>
    <col min="12549" max="12803" width="11.46484375" style="150"/>
    <col min="12804" max="12804" width="27.6640625" style="150" customWidth="1"/>
    <col min="12805" max="13059" width="11.46484375" style="150"/>
    <col min="13060" max="13060" width="27.6640625" style="150" customWidth="1"/>
    <col min="13061" max="13315" width="11.46484375" style="150"/>
    <col min="13316" max="13316" width="27.6640625" style="150" customWidth="1"/>
    <col min="13317" max="13571" width="11.46484375" style="150"/>
    <col min="13572" max="13572" width="27.6640625" style="150" customWidth="1"/>
    <col min="13573" max="13827" width="11.46484375" style="150"/>
    <col min="13828" max="13828" width="27.6640625" style="150" customWidth="1"/>
    <col min="13829" max="14083" width="11.46484375" style="150"/>
    <col min="14084" max="14084" width="27.6640625" style="150" customWidth="1"/>
    <col min="14085" max="14339" width="11.46484375" style="150"/>
    <col min="14340" max="14340" width="27.6640625" style="150" customWidth="1"/>
    <col min="14341" max="14595" width="11.46484375" style="150"/>
    <col min="14596" max="14596" width="27.6640625" style="150" customWidth="1"/>
    <col min="14597" max="14851" width="11.46484375" style="150"/>
    <col min="14852" max="14852" width="27.6640625" style="150" customWidth="1"/>
    <col min="14853" max="15107" width="11.46484375" style="150"/>
    <col min="15108" max="15108" width="27.6640625" style="150" customWidth="1"/>
    <col min="15109" max="15363" width="11.46484375" style="150"/>
    <col min="15364" max="15364" width="27.6640625" style="150" customWidth="1"/>
    <col min="15365" max="15619" width="11.46484375" style="150"/>
    <col min="15620" max="15620" width="27.6640625" style="150" customWidth="1"/>
    <col min="15621" max="15875" width="11.46484375" style="150"/>
    <col min="15876" max="15876" width="27.6640625" style="150" customWidth="1"/>
    <col min="15877" max="16131" width="11.46484375" style="150"/>
    <col min="16132" max="16132" width="27.6640625" style="150" customWidth="1"/>
    <col min="16133" max="16384" width="11.46484375" style="150"/>
  </cols>
  <sheetData>
    <row r="1" spans="3:13" ht="22.5" x14ac:dyDescent="0.6">
      <c r="C1" s="7" t="s">
        <v>115</v>
      </c>
      <c r="D1" s="6"/>
      <c r="E1" s="6"/>
      <c r="F1" s="6"/>
      <c r="G1" s="6"/>
      <c r="H1" s="6"/>
    </row>
    <row r="2" spans="3:13" ht="14.65" thickBot="1" x14ac:dyDescent="0.5">
      <c r="C2" s="2" t="s">
        <v>371</v>
      </c>
      <c r="D2" s="2"/>
      <c r="E2" s="2"/>
      <c r="F2" s="2"/>
      <c r="G2" s="2"/>
      <c r="H2" s="2"/>
    </row>
    <row r="3" spans="3:13" ht="17.649999999999999" x14ac:dyDescent="0.5">
      <c r="C3" s="634" t="s">
        <v>206</v>
      </c>
      <c r="D3" s="635"/>
      <c r="E3" s="635"/>
      <c r="F3" s="635"/>
      <c r="G3" s="636"/>
      <c r="H3" s="444"/>
    </row>
    <row r="4" spans="3:13" ht="14.65" thickBot="1" x14ac:dyDescent="0.5">
      <c r="C4" s="57" t="s">
        <v>116</v>
      </c>
      <c r="D4" s="58" t="s">
        <v>78</v>
      </c>
      <c r="E4" s="58" t="s">
        <v>117</v>
      </c>
      <c r="F4" s="59" t="s">
        <v>118</v>
      </c>
      <c r="G4" s="60" t="s">
        <v>119</v>
      </c>
      <c r="H4" s="445"/>
    </row>
    <row r="5" spans="3:13" x14ac:dyDescent="0.45">
      <c r="C5" s="467" t="s">
        <v>322</v>
      </c>
      <c r="D5" s="460" t="s">
        <v>99</v>
      </c>
      <c r="E5" s="468">
        <v>1</v>
      </c>
      <c r="F5" s="468">
        <v>2500</v>
      </c>
      <c r="G5" s="5">
        <f t="shared" ref="G5:G19" si="0">F5*E5</f>
        <v>2500</v>
      </c>
      <c r="H5" s="446"/>
    </row>
    <row r="6" spans="3:13" x14ac:dyDescent="0.45">
      <c r="C6" s="467" t="s">
        <v>120</v>
      </c>
      <c r="D6" s="460" t="s">
        <v>99</v>
      </c>
      <c r="E6" s="468">
        <v>1</v>
      </c>
      <c r="F6" s="468">
        <v>300</v>
      </c>
      <c r="G6" s="5">
        <f t="shared" si="0"/>
        <v>300</v>
      </c>
      <c r="H6" s="446"/>
    </row>
    <row r="7" spans="3:13" x14ac:dyDescent="0.45">
      <c r="C7" s="467"/>
      <c r="D7" s="460"/>
      <c r="E7" s="468"/>
      <c r="F7" s="468"/>
      <c r="G7" s="5">
        <f t="shared" si="0"/>
        <v>0</v>
      </c>
      <c r="H7" s="446"/>
    </row>
    <row r="8" spans="3:13" x14ac:dyDescent="0.45">
      <c r="C8" s="467" t="s">
        <v>374</v>
      </c>
      <c r="D8" s="460"/>
      <c r="E8" s="468"/>
      <c r="F8" s="468"/>
      <c r="G8" s="4">
        <f t="shared" si="0"/>
        <v>0</v>
      </c>
      <c r="H8" s="446"/>
    </row>
    <row r="9" spans="3:13" x14ac:dyDescent="0.45">
      <c r="C9" s="467" t="s">
        <v>375</v>
      </c>
      <c r="D9" s="460"/>
      <c r="E9" s="468"/>
      <c r="F9" s="468"/>
      <c r="G9" s="4">
        <f t="shared" si="0"/>
        <v>0</v>
      </c>
      <c r="H9" s="446"/>
      <c r="M9" s="484"/>
    </row>
    <row r="10" spans="3:13" x14ac:dyDescent="0.45">
      <c r="C10" s="467" t="s">
        <v>376</v>
      </c>
      <c r="D10" s="460"/>
      <c r="E10" s="468"/>
      <c r="F10" s="468"/>
      <c r="G10" s="4">
        <f t="shared" si="0"/>
        <v>0</v>
      </c>
      <c r="H10" s="446"/>
    </row>
    <row r="11" spans="3:13" x14ac:dyDescent="0.45">
      <c r="C11" s="469"/>
      <c r="D11" s="460"/>
      <c r="E11" s="468"/>
      <c r="F11" s="468"/>
      <c r="G11" s="4">
        <f t="shared" si="0"/>
        <v>0</v>
      </c>
      <c r="H11" s="446"/>
    </row>
    <row r="12" spans="3:13" x14ac:dyDescent="0.45">
      <c r="C12" s="469"/>
      <c r="D12" s="460"/>
      <c r="E12" s="468"/>
      <c r="F12" s="468"/>
      <c r="G12" s="4">
        <f t="shared" si="0"/>
        <v>0</v>
      </c>
      <c r="H12" s="446"/>
      <c r="I12" s="526"/>
    </row>
    <row r="13" spans="3:13" x14ac:dyDescent="0.45">
      <c r="C13" s="469"/>
      <c r="D13" s="460"/>
      <c r="E13" s="468"/>
      <c r="F13" s="468"/>
      <c r="G13" s="4">
        <f t="shared" si="0"/>
        <v>0</v>
      </c>
      <c r="H13" s="446"/>
      <c r="I13" s="526"/>
    </row>
    <row r="14" spans="3:13" x14ac:dyDescent="0.45">
      <c r="C14" s="469"/>
      <c r="D14" s="460"/>
      <c r="E14" s="468"/>
      <c r="F14" s="468"/>
      <c r="G14" s="4">
        <f t="shared" si="0"/>
        <v>0</v>
      </c>
      <c r="H14" s="446"/>
    </row>
    <row r="15" spans="3:13" x14ac:dyDescent="0.45">
      <c r="C15" s="469"/>
      <c r="D15" s="460"/>
      <c r="E15" s="468"/>
      <c r="F15" s="468"/>
      <c r="G15" s="4">
        <f t="shared" si="0"/>
        <v>0</v>
      </c>
      <c r="H15" s="446"/>
    </row>
    <row r="16" spans="3:13" x14ac:dyDescent="0.45">
      <c r="C16" s="469"/>
      <c r="D16" s="460"/>
      <c r="E16" s="468"/>
      <c r="F16" s="468"/>
      <c r="G16" s="4">
        <f t="shared" si="0"/>
        <v>0</v>
      </c>
      <c r="H16" s="446"/>
    </row>
    <row r="17" spans="3:9" x14ac:dyDescent="0.45">
      <c r="C17" s="469"/>
      <c r="D17" s="460"/>
      <c r="E17" s="468"/>
      <c r="F17" s="468"/>
      <c r="G17" s="4">
        <f t="shared" si="0"/>
        <v>0</v>
      </c>
      <c r="H17" s="446"/>
    </row>
    <row r="18" spans="3:9" x14ac:dyDescent="0.45">
      <c r="C18" s="469"/>
      <c r="D18" s="460"/>
      <c r="E18" s="468"/>
      <c r="F18" s="468"/>
      <c r="G18" s="4">
        <f t="shared" si="0"/>
        <v>0</v>
      </c>
      <c r="H18" s="446"/>
    </row>
    <row r="19" spans="3:9" x14ac:dyDescent="0.45">
      <c r="C19" s="469"/>
      <c r="D19" s="460"/>
      <c r="E19" s="468"/>
      <c r="F19" s="525"/>
      <c r="G19" s="4">
        <f t="shared" si="0"/>
        <v>0</v>
      </c>
      <c r="H19" s="446"/>
    </row>
    <row r="20" spans="3:9" x14ac:dyDescent="0.45">
      <c r="C20" s="469"/>
      <c r="D20" s="460"/>
      <c r="E20" s="468"/>
      <c r="F20" s="468"/>
      <c r="G20" s="4">
        <f t="shared" ref="G20:G29" si="1">+F20*E20</f>
        <v>0</v>
      </c>
      <c r="H20" s="446"/>
    </row>
    <row r="21" spans="3:9" x14ac:dyDescent="0.45">
      <c r="C21" s="469"/>
      <c r="D21" s="460"/>
      <c r="E21" s="468"/>
      <c r="F21" s="468"/>
      <c r="G21" s="4">
        <f t="shared" si="1"/>
        <v>0</v>
      </c>
      <c r="H21" s="446"/>
    </row>
    <row r="22" spans="3:9" x14ac:dyDescent="0.45">
      <c r="C22" s="469"/>
      <c r="D22" s="460"/>
      <c r="E22" s="468"/>
      <c r="F22" s="468"/>
      <c r="G22" s="4">
        <f t="shared" si="1"/>
        <v>0</v>
      </c>
      <c r="H22" s="446"/>
    </row>
    <row r="23" spans="3:9" x14ac:dyDescent="0.45">
      <c r="C23" s="469"/>
      <c r="D23" s="460"/>
      <c r="E23" s="468"/>
      <c r="F23" s="468"/>
      <c r="G23" s="4">
        <f t="shared" si="1"/>
        <v>0</v>
      </c>
      <c r="H23" s="446"/>
    </row>
    <row r="24" spans="3:9" x14ac:dyDescent="0.45">
      <c r="C24" s="469"/>
      <c r="D24" s="460"/>
      <c r="E24" s="468"/>
      <c r="F24" s="468"/>
      <c r="G24" s="4">
        <f t="shared" si="1"/>
        <v>0</v>
      </c>
      <c r="H24" s="446">
        <f>SUM(G5:G24)</f>
        <v>2800</v>
      </c>
    </row>
    <row r="25" spans="3:9" x14ac:dyDescent="0.45">
      <c r="C25" s="340" t="s">
        <v>122</v>
      </c>
      <c r="D25" s="341" t="s">
        <v>99</v>
      </c>
      <c r="E25" s="342">
        <v>1</v>
      </c>
      <c r="F25" s="343">
        <f>+Inversiones!J50</f>
        <v>41.666666666666664</v>
      </c>
      <c r="G25" s="4">
        <f t="shared" si="1"/>
        <v>41.666666666666664</v>
      </c>
      <c r="H25" s="446"/>
    </row>
    <row r="26" spans="3:9" x14ac:dyDescent="0.45">
      <c r="C26" s="340" t="s">
        <v>123</v>
      </c>
      <c r="D26" s="341" t="s">
        <v>99</v>
      </c>
      <c r="E26" s="342">
        <v>1</v>
      </c>
      <c r="F26" s="343">
        <f>+Inversiones!K60</f>
        <v>49.166666666666664</v>
      </c>
      <c r="G26" s="4">
        <f t="shared" si="1"/>
        <v>49.166666666666664</v>
      </c>
      <c r="H26" s="446"/>
    </row>
    <row r="27" spans="3:9" x14ac:dyDescent="0.45">
      <c r="C27" s="340"/>
      <c r="D27" s="341"/>
      <c r="E27" s="342"/>
      <c r="F27" s="342"/>
      <c r="G27" s="4">
        <f t="shared" si="1"/>
        <v>0</v>
      </c>
      <c r="H27" s="446"/>
      <c r="I27" s="530">
        <f>+G30/Inversiones!E55</f>
        <v>1</v>
      </c>
    </row>
    <row r="28" spans="3:9" x14ac:dyDescent="0.45">
      <c r="C28" s="340"/>
      <c r="D28" s="341"/>
      <c r="E28" s="342"/>
      <c r="F28" s="342"/>
      <c r="G28" s="4">
        <f t="shared" si="1"/>
        <v>0</v>
      </c>
      <c r="H28" s="446"/>
    </row>
    <row r="29" spans="3:9" x14ac:dyDescent="0.45">
      <c r="C29" s="340"/>
      <c r="D29" s="341"/>
      <c r="E29" s="342"/>
      <c r="F29" s="342"/>
      <c r="G29" s="4">
        <f t="shared" si="1"/>
        <v>0</v>
      </c>
      <c r="H29" s="446"/>
    </row>
    <row r="30" spans="3:9" ht="14.65" thickBot="1" x14ac:dyDescent="0.5">
      <c r="C30" s="637" t="s">
        <v>124</v>
      </c>
      <c r="D30" s="638"/>
      <c r="E30" s="638"/>
      <c r="F30" s="639"/>
      <c r="G30" s="3">
        <f>SUM(G5:G29)</f>
        <v>2890.833333333333</v>
      </c>
      <c r="H30" s="163"/>
    </row>
    <row r="31" spans="3:9" x14ac:dyDescent="0.45">
      <c r="C31" s="2"/>
      <c r="D31" s="2"/>
      <c r="E31" s="2"/>
      <c r="F31" s="2"/>
      <c r="G31" s="2"/>
      <c r="H31" s="2"/>
    </row>
    <row r="32" spans="3:9" ht="14.65" thickBot="1" x14ac:dyDescent="0.5">
      <c r="C32" s="2"/>
      <c r="D32" s="2"/>
      <c r="E32" s="2"/>
      <c r="F32" s="2"/>
      <c r="G32" s="2"/>
      <c r="H32" s="2"/>
    </row>
    <row r="33" spans="3:12" ht="24.75" customHeight="1" thickBot="1" x14ac:dyDescent="0.5">
      <c r="C33" s="640" t="s">
        <v>125</v>
      </c>
      <c r="D33" s="641"/>
      <c r="E33" s="641"/>
      <c r="F33" s="641"/>
      <c r="G33" s="641"/>
      <c r="H33" s="641"/>
      <c r="I33" s="642"/>
      <c r="L33" s="339"/>
    </row>
    <row r="34" spans="3:12" ht="66" customHeight="1" thickBot="1" x14ac:dyDescent="0.5">
      <c r="C34" s="164" t="s">
        <v>116</v>
      </c>
      <c r="D34" s="165" t="s">
        <v>78</v>
      </c>
      <c r="E34" s="165" t="s">
        <v>117</v>
      </c>
      <c r="F34" s="166" t="s">
        <v>118</v>
      </c>
      <c r="G34" s="166" t="s">
        <v>126</v>
      </c>
      <c r="H34" s="166" t="s">
        <v>127</v>
      </c>
      <c r="I34" s="166" t="s">
        <v>128</v>
      </c>
    </row>
    <row r="35" spans="3:12" x14ac:dyDescent="0.45">
      <c r="C35" s="470" t="s">
        <v>372</v>
      </c>
      <c r="D35" s="471" t="s">
        <v>373</v>
      </c>
      <c r="E35" s="460">
        <v>120</v>
      </c>
      <c r="F35" s="503"/>
      <c r="G35" s="513">
        <f>+F35*E35</f>
        <v>0</v>
      </c>
      <c r="H35" s="344">
        <f>SUM(G35:G49)</f>
        <v>0</v>
      </c>
      <c r="I35" s="646" t="str">
        <f>+'Proy Vtas'!B12</f>
        <v>Publicación y Desarrollo de Trabajo completo</v>
      </c>
      <c r="J35" s="150">
        <v>100</v>
      </c>
    </row>
    <row r="36" spans="3:12" x14ac:dyDescent="0.45">
      <c r="C36" s="467"/>
      <c r="D36" s="460"/>
      <c r="E36" s="460"/>
      <c r="F36" s="503"/>
      <c r="G36" s="513">
        <f t="shared" ref="G36:G97" si="2">+F36*E36</f>
        <v>0</v>
      </c>
      <c r="H36" s="649" t="s">
        <v>378</v>
      </c>
      <c r="I36" s="647"/>
    </row>
    <row r="37" spans="3:12" x14ac:dyDescent="0.45">
      <c r="C37" s="467"/>
      <c r="D37" s="460"/>
      <c r="E37" s="460"/>
      <c r="F37" s="503"/>
      <c r="G37" s="513">
        <f t="shared" si="2"/>
        <v>0</v>
      </c>
      <c r="H37" s="650"/>
      <c r="I37" s="647"/>
    </row>
    <row r="38" spans="3:12" x14ac:dyDescent="0.45">
      <c r="C38" s="467"/>
      <c r="D38" s="460"/>
      <c r="E38" s="460"/>
      <c r="F38" s="503"/>
      <c r="G38" s="513">
        <f t="shared" si="2"/>
        <v>0</v>
      </c>
      <c r="H38" s="650"/>
      <c r="I38" s="647"/>
    </row>
    <row r="39" spans="3:12" x14ac:dyDescent="0.45">
      <c r="C39" s="472"/>
      <c r="D39" s="473"/>
      <c r="E39" s="460"/>
      <c r="F39" s="503"/>
      <c r="G39" s="513">
        <f t="shared" si="2"/>
        <v>0</v>
      </c>
      <c r="H39" s="650"/>
      <c r="I39" s="647"/>
    </row>
    <row r="40" spans="3:12" x14ac:dyDescent="0.45">
      <c r="C40" s="472"/>
      <c r="D40" s="473"/>
      <c r="E40" s="460"/>
      <c r="F40" s="503"/>
      <c r="G40" s="513">
        <f t="shared" si="2"/>
        <v>0</v>
      </c>
      <c r="H40" s="650"/>
      <c r="I40" s="647"/>
    </row>
    <row r="41" spans="3:12" x14ac:dyDescent="0.45">
      <c r="C41" s="472"/>
      <c r="D41" s="473"/>
      <c r="E41" s="460"/>
      <c r="F41" s="503"/>
      <c r="G41" s="513">
        <f t="shared" si="2"/>
        <v>0</v>
      </c>
      <c r="H41" s="650"/>
      <c r="I41" s="647"/>
    </row>
    <row r="42" spans="3:12" x14ac:dyDescent="0.45">
      <c r="C42" s="472"/>
      <c r="D42" s="473"/>
      <c r="E42" s="460"/>
      <c r="F42" s="503"/>
      <c r="G42" s="513">
        <f t="shared" si="2"/>
        <v>0</v>
      </c>
      <c r="H42" s="650"/>
      <c r="I42" s="647"/>
    </row>
    <row r="43" spans="3:12" x14ac:dyDescent="0.45">
      <c r="C43" s="472"/>
      <c r="D43" s="473"/>
      <c r="E43" s="460"/>
      <c r="F43" s="503"/>
      <c r="G43" s="513">
        <f t="shared" si="2"/>
        <v>0</v>
      </c>
      <c r="H43" s="650"/>
      <c r="I43" s="647"/>
    </row>
    <row r="44" spans="3:12" x14ac:dyDescent="0.45">
      <c r="C44" s="472"/>
      <c r="D44" s="473"/>
      <c r="E44" s="460"/>
      <c r="F44" s="503"/>
      <c r="G44" s="513">
        <f t="shared" si="2"/>
        <v>0</v>
      </c>
      <c r="H44" s="650"/>
      <c r="I44" s="647"/>
    </row>
    <row r="45" spans="3:12" x14ac:dyDescent="0.45">
      <c r="C45" s="472"/>
      <c r="D45" s="473"/>
      <c r="E45" s="460"/>
      <c r="F45" s="503"/>
      <c r="G45" s="513">
        <f t="shared" si="2"/>
        <v>0</v>
      </c>
      <c r="H45" s="650"/>
      <c r="I45" s="647"/>
    </row>
    <row r="46" spans="3:12" x14ac:dyDescent="0.45">
      <c r="C46" s="472"/>
      <c r="D46" s="473"/>
      <c r="E46" s="473"/>
      <c r="F46" s="504"/>
      <c r="G46" s="513">
        <f t="shared" si="2"/>
        <v>0</v>
      </c>
      <c r="H46" s="650"/>
      <c r="I46" s="647"/>
    </row>
    <row r="47" spans="3:12" x14ac:dyDescent="0.45">
      <c r="C47" s="472"/>
      <c r="D47" s="505"/>
      <c r="E47" s="460"/>
      <c r="F47" s="503"/>
      <c r="G47" s="513">
        <f t="shared" si="2"/>
        <v>0</v>
      </c>
      <c r="H47" s="650"/>
      <c r="I47" s="647"/>
    </row>
    <row r="48" spans="3:12" x14ac:dyDescent="0.45">
      <c r="C48" s="472"/>
      <c r="D48" s="473"/>
      <c r="E48" s="506"/>
      <c r="F48" s="507"/>
      <c r="G48" s="513">
        <f t="shared" si="2"/>
        <v>0</v>
      </c>
      <c r="H48" s="650"/>
      <c r="I48" s="647"/>
    </row>
    <row r="49" spans="3:9" ht="14.65" thickBot="1" x14ac:dyDescent="0.5">
      <c r="C49" s="472"/>
      <c r="D49" s="473"/>
      <c r="E49" s="475"/>
      <c r="F49" s="508"/>
      <c r="G49" s="513">
        <f t="shared" si="2"/>
        <v>0</v>
      </c>
      <c r="H49" s="651"/>
      <c r="I49" s="647"/>
    </row>
    <row r="50" spans="3:9" ht="14.65" thickBot="1" x14ac:dyDescent="0.5">
      <c r="C50" s="470"/>
      <c r="D50" s="471"/>
      <c r="E50" s="460"/>
      <c r="F50" s="509"/>
      <c r="G50" s="512">
        <f t="shared" si="2"/>
        <v>0</v>
      </c>
      <c r="H50" s="344">
        <f>SUM(G50:G64)</f>
        <v>0</v>
      </c>
      <c r="I50" s="646" t="str">
        <f>+'Proy Vtas'!B13</f>
        <v>Denuncias o solicitudes de reembolso</v>
      </c>
    </row>
    <row r="51" spans="3:9" ht="14.65" thickBot="1" x14ac:dyDescent="0.5">
      <c r="C51" s="467"/>
      <c r="D51" s="460"/>
      <c r="E51" s="460"/>
      <c r="F51" s="503"/>
      <c r="G51" s="512">
        <f t="shared" si="2"/>
        <v>0</v>
      </c>
      <c r="H51" s="652" t="s">
        <v>377</v>
      </c>
      <c r="I51" s="647"/>
    </row>
    <row r="52" spans="3:9" ht="14.65" thickBot="1" x14ac:dyDescent="0.5">
      <c r="C52" s="467"/>
      <c r="D52" s="460"/>
      <c r="E52" s="460"/>
      <c r="F52" s="503"/>
      <c r="G52" s="512">
        <f t="shared" si="2"/>
        <v>0</v>
      </c>
      <c r="H52" s="653"/>
      <c r="I52" s="647"/>
    </row>
    <row r="53" spans="3:9" ht="14.65" thickBot="1" x14ac:dyDescent="0.5">
      <c r="C53" s="467"/>
      <c r="D53" s="460"/>
      <c r="E53" s="460"/>
      <c r="F53" s="503"/>
      <c r="G53" s="512">
        <f t="shared" si="2"/>
        <v>0</v>
      </c>
      <c r="H53" s="653"/>
      <c r="I53" s="647"/>
    </row>
    <row r="54" spans="3:9" ht="14.65" thickBot="1" x14ac:dyDescent="0.5">
      <c r="C54" s="472"/>
      <c r="D54" s="460"/>
      <c r="E54" s="460"/>
      <c r="F54" s="503"/>
      <c r="G54" s="512">
        <f t="shared" si="2"/>
        <v>0</v>
      </c>
      <c r="H54" s="653"/>
      <c r="I54" s="647"/>
    </row>
    <row r="55" spans="3:9" ht="14.65" thickBot="1" x14ac:dyDescent="0.5">
      <c r="C55" s="467"/>
      <c r="D55" s="460"/>
      <c r="E55" s="460"/>
      <c r="F55" s="503"/>
      <c r="G55" s="512">
        <f t="shared" si="2"/>
        <v>0</v>
      </c>
      <c r="H55" s="653"/>
      <c r="I55" s="647"/>
    </row>
    <row r="56" spans="3:9" ht="14.65" thickBot="1" x14ac:dyDescent="0.5">
      <c r="C56" s="472"/>
      <c r="D56" s="460"/>
      <c r="E56" s="460"/>
      <c r="F56" s="503"/>
      <c r="G56" s="512">
        <f t="shared" si="2"/>
        <v>0</v>
      </c>
      <c r="H56" s="653"/>
      <c r="I56" s="647"/>
    </row>
    <row r="57" spans="3:9" ht="14.65" thickBot="1" x14ac:dyDescent="0.5">
      <c r="C57" s="472"/>
      <c r="D57" s="460"/>
      <c r="E57" s="460"/>
      <c r="F57" s="503"/>
      <c r="G57" s="512">
        <f t="shared" si="2"/>
        <v>0</v>
      </c>
      <c r="H57" s="653"/>
      <c r="I57" s="647"/>
    </row>
    <row r="58" spans="3:9" ht="14.65" thickBot="1" x14ac:dyDescent="0.5">
      <c r="C58" s="472"/>
      <c r="D58" s="460"/>
      <c r="E58" s="460"/>
      <c r="F58" s="503"/>
      <c r="G58" s="512">
        <f t="shared" si="2"/>
        <v>0</v>
      </c>
      <c r="H58" s="653"/>
      <c r="I58" s="647"/>
    </row>
    <row r="59" spans="3:9" ht="14.65" thickBot="1" x14ac:dyDescent="0.5">
      <c r="C59" s="472"/>
      <c r="D59" s="460"/>
      <c r="E59" s="460"/>
      <c r="F59" s="503"/>
      <c r="G59" s="512">
        <f t="shared" si="2"/>
        <v>0</v>
      </c>
      <c r="H59" s="653"/>
      <c r="I59" s="647"/>
    </row>
    <row r="60" spans="3:9" ht="14.65" thickBot="1" x14ac:dyDescent="0.5">
      <c r="C60" s="472"/>
      <c r="D60" s="460"/>
      <c r="E60" s="460"/>
      <c r="F60" s="503"/>
      <c r="G60" s="512">
        <f t="shared" si="2"/>
        <v>0</v>
      </c>
      <c r="H60" s="653"/>
      <c r="I60" s="647"/>
    </row>
    <row r="61" spans="3:9" ht="14.65" thickBot="1" x14ac:dyDescent="0.5">
      <c r="C61" s="472"/>
      <c r="D61" s="460"/>
      <c r="E61" s="460"/>
      <c r="F61" s="503"/>
      <c r="G61" s="512">
        <f t="shared" si="2"/>
        <v>0</v>
      </c>
      <c r="H61" s="653"/>
      <c r="I61" s="647"/>
    </row>
    <row r="62" spans="3:9" ht="14.65" thickBot="1" x14ac:dyDescent="0.5">
      <c r="C62" s="472"/>
      <c r="D62" s="510"/>
      <c r="E62" s="460"/>
      <c r="F62" s="503"/>
      <c r="G62" s="512">
        <f t="shared" si="2"/>
        <v>0</v>
      </c>
      <c r="H62" s="653"/>
      <c r="I62" s="647"/>
    </row>
    <row r="63" spans="3:9" ht="14.65" thickBot="1" x14ac:dyDescent="0.5">
      <c r="C63" s="472"/>
      <c r="D63" s="473"/>
      <c r="E63" s="506"/>
      <c r="F63" s="507"/>
      <c r="G63" s="512">
        <f t="shared" si="2"/>
        <v>0</v>
      </c>
      <c r="H63" s="653"/>
      <c r="I63" s="647"/>
    </row>
    <row r="64" spans="3:9" ht="14.65" thickBot="1" x14ac:dyDescent="0.5">
      <c r="C64" s="472"/>
      <c r="D64" s="473"/>
      <c r="E64" s="475"/>
      <c r="F64" s="508"/>
      <c r="G64" s="512">
        <f t="shared" si="2"/>
        <v>0</v>
      </c>
      <c r="H64" s="654"/>
      <c r="I64" s="648"/>
    </row>
    <row r="65" spans="3:9" ht="14.65" thickBot="1" x14ac:dyDescent="0.5">
      <c r="C65" s="470" t="s">
        <v>121</v>
      </c>
      <c r="D65" s="471" t="s">
        <v>323</v>
      </c>
      <c r="E65" s="483">
        <f>+J65*0.6905</f>
        <v>0</v>
      </c>
      <c r="F65" s="509">
        <f>0.00861/1000</f>
        <v>8.6099999999999989E-6</v>
      </c>
      <c r="G65" s="512">
        <f t="shared" si="2"/>
        <v>0</v>
      </c>
      <c r="H65" s="344">
        <f>SUM(G65:G79)</f>
        <v>3.2</v>
      </c>
      <c r="I65" s="646" t="str">
        <f>+'Proy Vtas'!B14</f>
        <v>Ventas de examenes resueltos</v>
      </c>
    </row>
    <row r="66" spans="3:9" ht="14.65" thickBot="1" x14ac:dyDescent="0.5">
      <c r="C66" s="467"/>
      <c r="D66" s="460" t="s">
        <v>129</v>
      </c>
      <c r="E66" s="460">
        <f>0.001*J65</f>
        <v>0</v>
      </c>
      <c r="F66" s="503">
        <f>79.57/1000</f>
        <v>7.9569999999999988E-2</v>
      </c>
      <c r="G66" s="512">
        <f t="shared" si="2"/>
        <v>0</v>
      </c>
      <c r="H66" s="652" t="s">
        <v>332</v>
      </c>
      <c r="I66" s="647"/>
    </row>
    <row r="67" spans="3:9" ht="14.65" thickBot="1" x14ac:dyDescent="0.5">
      <c r="C67" s="467"/>
      <c r="D67" s="460" t="s">
        <v>129</v>
      </c>
      <c r="E67" s="460">
        <f>0.03*J65</f>
        <v>0</v>
      </c>
      <c r="F67" s="503">
        <f>49.02/1000</f>
        <v>4.9020000000000001E-2</v>
      </c>
      <c r="G67" s="512">
        <f t="shared" si="2"/>
        <v>0</v>
      </c>
      <c r="H67" s="653"/>
      <c r="I67" s="647"/>
    </row>
    <row r="68" spans="3:9" ht="14.65" thickBot="1" x14ac:dyDescent="0.5">
      <c r="C68" s="467"/>
      <c r="D68" s="460" t="s">
        <v>129</v>
      </c>
      <c r="E68" s="460">
        <f>0.03*J65</f>
        <v>0</v>
      </c>
      <c r="F68" s="503">
        <f>1404.8/25000</f>
        <v>5.6191999999999999E-2</v>
      </c>
      <c r="G68" s="512">
        <f t="shared" si="2"/>
        <v>0</v>
      </c>
      <c r="H68" s="653"/>
      <c r="I68" s="647"/>
    </row>
    <row r="69" spans="3:9" ht="14.65" thickBot="1" x14ac:dyDescent="0.5">
      <c r="C69" s="467"/>
      <c r="D69" s="460" t="s">
        <v>129</v>
      </c>
      <c r="E69" s="460">
        <f>0.025*J65</f>
        <v>0</v>
      </c>
      <c r="F69" s="503">
        <f>139.13/3000</f>
        <v>4.6376666666666663E-2</v>
      </c>
      <c r="G69" s="512">
        <f t="shared" si="2"/>
        <v>0</v>
      </c>
      <c r="H69" s="653"/>
      <c r="I69" s="647"/>
    </row>
    <row r="70" spans="3:9" ht="14.65" thickBot="1" x14ac:dyDescent="0.5">
      <c r="C70" s="467"/>
      <c r="D70" s="460" t="s">
        <v>129</v>
      </c>
      <c r="E70" s="460">
        <f>0.02*J65</f>
        <v>0</v>
      </c>
      <c r="F70" s="503">
        <v>5.6410000000000002E-2</v>
      </c>
      <c r="G70" s="512">
        <f t="shared" si="2"/>
        <v>0</v>
      </c>
      <c r="H70" s="653"/>
      <c r="I70" s="647"/>
    </row>
    <row r="71" spans="3:9" ht="14.65" thickBot="1" x14ac:dyDescent="0.5">
      <c r="C71" s="467"/>
      <c r="D71" s="460" t="s">
        <v>129</v>
      </c>
      <c r="E71" s="460">
        <f>0.015*J65</f>
        <v>0</v>
      </c>
      <c r="F71" s="503">
        <f>226.26/5000</f>
        <v>4.5252000000000001E-2</v>
      </c>
      <c r="G71" s="512">
        <f t="shared" si="2"/>
        <v>0</v>
      </c>
      <c r="H71" s="653"/>
      <c r="I71" s="647"/>
    </row>
    <row r="72" spans="3:9" ht="14.65" thickBot="1" x14ac:dyDescent="0.5">
      <c r="C72" s="467"/>
      <c r="D72" s="460" t="s">
        <v>323</v>
      </c>
      <c r="E72" s="460">
        <f>0.0035*J65</f>
        <v>0</v>
      </c>
      <c r="F72" s="503">
        <f>0.695</f>
        <v>0.69499999999999995</v>
      </c>
      <c r="G72" s="512">
        <f t="shared" si="2"/>
        <v>0</v>
      </c>
      <c r="H72" s="653"/>
      <c r="I72" s="647"/>
    </row>
    <row r="73" spans="3:9" ht="14.65" thickBot="1" x14ac:dyDescent="0.5">
      <c r="C73" s="472"/>
      <c r="D73" s="460" t="s">
        <v>129</v>
      </c>
      <c r="E73" s="460">
        <f>0.01*J65</f>
        <v>0</v>
      </c>
      <c r="F73" s="503">
        <f>97.36/1000</f>
        <v>9.7360000000000002E-2</v>
      </c>
      <c r="G73" s="512">
        <f t="shared" si="2"/>
        <v>0</v>
      </c>
      <c r="H73" s="653"/>
      <c r="I73" s="647"/>
    </row>
    <row r="74" spans="3:9" ht="14.65" thickBot="1" x14ac:dyDescent="0.5">
      <c r="C74" s="472"/>
      <c r="D74" s="460" t="s">
        <v>129</v>
      </c>
      <c r="E74" s="460">
        <f>0.01*J65</f>
        <v>0</v>
      </c>
      <c r="F74" s="503">
        <f>42.65/1000</f>
        <v>4.265E-2</v>
      </c>
      <c r="G74" s="512">
        <f t="shared" si="2"/>
        <v>0</v>
      </c>
      <c r="H74" s="653"/>
      <c r="I74" s="647"/>
    </row>
    <row r="75" spans="3:9" ht="14.65" thickBot="1" x14ac:dyDescent="0.5">
      <c r="C75" s="472"/>
      <c r="D75" s="460" t="s">
        <v>129</v>
      </c>
      <c r="E75" s="460">
        <f>0.1*J65</f>
        <v>0</v>
      </c>
      <c r="F75" s="503">
        <v>7.8899999999999998E-2</v>
      </c>
      <c r="G75" s="512">
        <f t="shared" si="2"/>
        <v>0</v>
      </c>
      <c r="H75" s="653"/>
      <c r="I75" s="647"/>
    </row>
    <row r="76" spans="3:9" ht="14.65" thickBot="1" x14ac:dyDescent="0.5">
      <c r="C76" s="472"/>
      <c r="D76" s="460" t="s">
        <v>129</v>
      </c>
      <c r="E76" s="473">
        <f>0.05*J65</f>
        <v>0</v>
      </c>
      <c r="F76" s="503">
        <v>4.7600000000000003E-2</v>
      </c>
      <c r="G76" s="512">
        <f t="shared" si="2"/>
        <v>0</v>
      </c>
      <c r="H76" s="653"/>
      <c r="I76" s="647"/>
    </row>
    <row r="77" spans="3:9" ht="14.65" thickBot="1" x14ac:dyDescent="0.5">
      <c r="C77" s="472"/>
      <c r="D77" s="460" t="s">
        <v>129</v>
      </c>
      <c r="E77" s="511">
        <f>0.015*J65</f>
        <v>0</v>
      </c>
      <c r="F77" s="503">
        <f>61.5/1000</f>
        <v>6.1499999999999999E-2</v>
      </c>
      <c r="G77" s="512">
        <f t="shared" si="2"/>
        <v>0</v>
      </c>
      <c r="H77" s="653"/>
      <c r="I77" s="647"/>
    </row>
    <row r="78" spans="3:9" ht="14.65" thickBot="1" x14ac:dyDescent="0.5">
      <c r="C78" s="472"/>
      <c r="D78" s="473" t="s">
        <v>93</v>
      </c>
      <c r="E78" s="506">
        <v>1</v>
      </c>
      <c r="F78" s="507">
        <v>2</v>
      </c>
      <c r="G78" s="512">
        <f t="shared" si="2"/>
        <v>2</v>
      </c>
      <c r="H78" s="653"/>
      <c r="I78" s="647"/>
    </row>
    <row r="79" spans="3:9" ht="14.65" thickBot="1" x14ac:dyDescent="0.5">
      <c r="C79" s="472" t="s">
        <v>324</v>
      </c>
      <c r="D79" s="473" t="s">
        <v>93</v>
      </c>
      <c r="E79" s="475">
        <v>1</v>
      </c>
      <c r="F79" s="508">
        <v>1.2</v>
      </c>
      <c r="G79" s="512">
        <f t="shared" si="2"/>
        <v>1.2</v>
      </c>
      <c r="H79" s="654"/>
      <c r="I79" s="648"/>
    </row>
    <row r="80" spans="3:9" x14ac:dyDescent="0.45">
      <c r="C80" s="470"/>
      <c r="D80" s="471"/>
      <c r="E80" s="471"/>
      <c r="F80" s="471"/>
      <c r="G80" s="344"/>
      <c r="H80" s="344">
        <f>SUM(G81:G85)</f>
        <v>0</v>
      </c>
      <c r="I80" s="426"/>
    </row>
    <row r="81" spans="3:11" x14ac:dyDescent="0.45">
      <c r="C81" s="467"/>
      <c r="D81" s="460"/>
      <c r="E81" s="460"/>
      <c r="F81" s="460"/>
      <c r="G81" s="408">
        <f t="shared" si="2"/>
        <v>0</v>
      </c>
      <c r="H81" s="408"/>
      <c r="I81" s="4"/>
      <c r="K81" s="484"/>
    </row>
    <row r="82" spans="3:11" x14ac:dyDescent="0.45">
      <c r="C82" s="467"/>
      <c r="D82" s="460"/>
      <c r="E82" s="460"/>
      <c r="F82" s="460"/>
      <c r="G82" s="408">
        <f t="shared" si="2"/>
        <v>0</v>
      </c>
      <c r="H82" s="408"/>
      <c r="I82" s="4"/>
    </row>
    <row r="83" spans="3:11" x14ac:dyDescent="0.45">
      <c r="C83" s="467"/>
      <c r="D83" s="460"/>
      <c r="E83" s="460"/>
      <c r="F83" s="460"/>
      <c r="G83" s="408">
        <f t="shared" si="2"/>
        <v>0</v>
      </c>
      <c r="H83" s="408"/>
      <c r="I83" s="4"/>
    </row>
    <row r="84" spans="3:11" x14ac:dyDescent="0.45">
      <c r="C84" s="472"/>
      <c r="D84" s="473"/>
      <c r="E84" s="473"/>
      <c r="F84" s="473"/>
      <c r="G84" s="408">
        <f>+F84*E84</f>
        <v>0</v>
      </c>
      <c r="H84" s="454"/>
      <c r="I84" s="455"/>
    </row>
    <row r="85" spans="3:11" ht="14.65" thickBot="1" x14ac:dyDescent="0.5">
      <c r="C85" s="474"/>
      <c r="D85" s="476"/>
      <c r="E85" s="476"/>
      <c r="F85" s="476"/>
      <c r="G85" s="408">
        <f t="shared" si="2"/>
        <v>0</v>
      </c>
      <c r="H85" s="427"/>
      <c r="I85" s="428"/>
    </row>
    <row r="86" spans="3:11" x14ac:dyDescent="0.45">
      <c r="C86" s="470"/>
      <c r="D86" s="471"/>
      <c r="E86" s="471"/>
      <c r="F86" s="471"/>
      <c r="G86" s="344"/>
      <c r="H86" s="344">
        <f>SUM(G87:G91)</f>
        <v>0</v>
      </c>
      <c r="I86" s="426"/>
    </row>
    <row r="87" spans="3:11" x14ac:dyDescent="0.45">
      <c r="C87" s="467"/>
      <c r="D87" s="460"/>
      <c r="E87" s="460"/>
      <c r="F87" s="460"/>
      <c r="G87" s="408">
        <f t="shared" si="2"/>
        <v>0</v>
      </c>
      <c r="H87" s="408"/>
      <c r="I87" s="4"/>
    </row>
    <row r="88" spans="3:11" x14ac:dyDescent="0.45">
      <c r="C88" s="467"/>
      <c r="D88" s="460"/>
      <c r="E88" s="460"/>
      <c r="F88" s="460"/>
      <c r="G88" s="408">
        <f t="shared" si="2"/>
        <v>0</v>
      </c>
      <c r="H88" s="408"/>
      <c r="I88" s="4"/>
    </row>
    <row r="89" spans="3:11" x14ac:dyDescent="0.45">
      <c r="C89" s="467"/>
      <c r="D89" s="460"/>
      <c r="E89" s="460"/>
      <c r="F89" s="460"/>
      <c r="G89" s="408">
        <f t="shared" si="2"/>
        <v>0</v>
      </c>
      <c r="H89" s="408"/>
      <c r="I89" s="4"/>
    </row>
    <row r="90" spans="3:11" x14ac:dyDescent="0.45">
      <c r="C90" s="472"/>
      <c r="D90" s="473"/>
      <c r="E90" s="473"/>
      <c r="F90" s="473"/>
      <c r="G90" s="408">
        <f>+F90*E90</f>
        <v>0</v>
      </c>
      <c r="H90" s="454"/>
      <c r="I90" s="455"/>
    </row>
    <row r="91" spans="3:11" ht="14.65" thickBot="1" x14ac:dyDescent="0.5">
      <c r="C91" s="474"/>
      <c r="D91" s="476"/>
      <c r="E91" s="476"/>
      <c r="F91" s="476"/>
      <c r="G91" s="408">
        <f t="shared" si="2"/>
        <v>0</v>
      </c>
      <c r="H91" s="427"/>
      <c r="I91" s="428"/>
    </row>
    <row r="92" spans="3:11" x14ac:dyDescent="0.45">
      <c r="C92" s="470"/>
      <c r="D92" s="471"/>
      <c r="E92" s="471"/>
      <c r="F92" s="471"/>
      <c r="G92" s="344"/>
      <c r="H92" s="344">
        <f>SUM(G93:G97)</f>
        <v>0</v>
      </c>
      <c r="I92" s="426"/>
    </row>
    <row r="93" spans="3:11" x14ac:dyDescent="0.45">
      <c r="C93" s="467"/>
      <c r="D93" s="460"/>
      <c r="E93" s="460"/>
      <c r="F93" s="460"/>
      <c r="G93" s="408">
        <f t="shared" si="2"/>
        <v>0</v>
      </c>
      <c r="H93" s="408"/>
      <c r="I93" s="4"/>
    </row>
    <row r="94" spans="3:11" x14ac:dyDescent="0.45">
      <c r="C94" s="467"/>
      <c r="D94" s="460"/>
      <c r="E94" s="460"/>
      <c r="F94" s="460"/>
      <c r="G94" s="408">
        <f t="shared" si="2"/>
        <v>0</v>
      </c>
      <c r="H94" s="408"/>
      <c r="I94" s="4"/>
    </row>
    <row r="95" spans="3:11" x14ac:dyDescent="0.45">
      <c r="C95" s="467"/>
      <c r="D95" s="460"/>
      <c r="E95" s="460"/>
      <c r="F95" s="460"/>
      <c r="G95" s="408">
        <f t="shared" si="2"/>
        <v>0</v>
      </c>
      <c r="H95" s="408"/>
      <c r="I95" s="4"/>
    </row>
    <row r="96" spans="3:11" x14ac:dyDescent="0.45">
      <c r="C96" s="472"/>
      <c r="D96" s="473"/>
      <c r="E96" s="473"/>
      <c r="F96" s="473"/>
      <c r="G96" s="408">
        <f>+F96*E96</f>
        <v>0</v>
      </c>
      <c r="H96" s="454"/>
      <c r="I96" s="455"/>
    </row>
    <row r="97" spans="3:13" ht="14.65" thickBot="1" x14ac:dyDescent="0.5">
      <c r="C97" s="474"/>
      <c r="D97" s="476"/>
      <c r="E97" s="476"/>
      <c r="F97" s="476"/>
      <c r="G97" s="427">
        <f t="shared" si="2"/>
        <v>0</v>
      </c>
      <c r="H97" s="427"/>
      <c r="I97" s="428"/>
    </row>
    <row r="99" spans="3:13" x14ac:dyDescent="0.45">
      <c r="C99" s="484" t="s">
        <v>130</v>
      </c>
    </row>
    <row r="100" spans="3:13" x14ac:dyDescent="0.45">
      <c r="C100" s="484" t="s">
        <v>131</v>
      </c>
    </row>
    <row r="102" spans="3:13" x14ac:dyDescent="0.45">
      <c r="C102" s="484"/>
    </row>
    <row r="103" spans="3:13" ht="14.65" thickBot="1" x14ac:dyDescent="0.5">
      <c r="I103" s="150">
        <v>1</v>
      </c>
      <c r="K103" s="150">
        <v>2</v>
      </c>
      <c r="L103" s="150">
        <v>3</v>
      </c>
      <c r="M103" s="150">
        <f>+AVERAGE(I103:L103)</f>
        <v>2</v>
      </c>
    </row>
    <row r="104" spans="3:13" ht="18" thickBot="1" x14ac:dyDescent="0.5">
      <c r="C104" s="429" t="s">
        <v>132</v>
      </c>
      <c r="D104" s="430"/>
      <c r="E104" s="430"/>
      <c r="F104" s="431"/>
    </row>
    <row r="105" spans="3:13" ht="42" thickBot="1" x14ac:dyDescent="0.5">
      <c r="C105" s="164" t="s">
        <v>116</v>
      </c>
      <c r="D105" s="165" t="s">
        <v>117</v>
      </c>
      <c r="E105" s="166" t="s">
        <v>133</v>
      </c>
      <c r="F105" s="165" t="s">
        <v>119</v>
      </c>
    </row>
    <row r="106" spans="3:13" x14ac:dyDescent="0.45">
      <c r="C106" s="433" t="str">
        <f>+I35</f>
        <v>Publicación y Desarrollo de Trabajo completo</v>
      </c>
      <c r="D106" s="434">
        <f>IFERROR(AVERAGE('Proy Vtas'!C12:N12),0)</f>
        <v>0</v>
      </c>
      <c r="E106" s="435">
        <f>+H35</f>
        <v>0</v>
      </c>
      <c r="F106" s="436">
        <f t="shared" ref="F106:F111" si="3">D106*E106</f>
        <v>0</v>
      </c>
    </row>
    <row r="107" spans="3:13" x14ac:dyDescent="0.45">
      <c r="C107" s="437" t="str">
        <f>+I50</f>
        <v>Denuncias o solicitudes de reembolso</v>
      </c>
      <c r="D107" s="346">
        <f>IFERROR(AVERAGE('Proy Vtas'!C13:N13),0)</f>
        <v>0</v>
      </c>
      <c r="E107" s="345">
        <f>+H50</f>
        <v>0</v>
      </c>
      <c r="F107" s="438">
        <f t="shared" si="3"/>
        <v>0</v>
      </c>
    </row>
    <row r="108" spans="3:13" x14ac:dyDescent="0.45">
      <c r="C108" s="437" t="str">
        <f>+I65</f>
        <v>Ventas de examenes resueltos</v>
      </c>
      <c r="D108" s="346">
        <f>IFERROR(AVERAGE('Proy Vtas'!C14:N14),0)</f>
        <v>0</v>
      </c>
      <c r="E108" s="345">
        <f>+H65</f>
        <v>3.2</v>
      </c>
      <c r="F108" s="438">
        <f t="shared" si="3"/>
        <v>0</v>
      </c>
    </row>
    <row r="109" spans="3:13" x14ac:dyDescent="0.45">
      <c r="C109" s="437">
        <f>+C80</f>
        <v>0</v>
      </c>
      <c r="D109" s="346">
        <f>IFERROR(AVERAGE('Proy Vtas'!C15:N15),0)</f>
        <v>0</v>
      </c>
      <c r="E109" s="345"/>
      <c r="F109" s="438">
        <f t="shared" si="3"/>
        <v>0</v>
      </c>
    </row>
    <row r="110" spans="3:13" x14ac:dyDescent="0.45">
      <c r="C110" s="437">
        <f>+C86</f>
        <v>0</v>
      </c>
      <c r="D110" s="346">
        <f>IFERROR(AVERAGE('Proy Vtas'!C16:N16),0)</f>
        <v>0</v>
      </c>
      <c r="E110" s="345"/>
      <c r="F110" s="438">
        <f t="shared" si="3"/>
        <v>0</v>
      </c>
    </row>
    <row r="111" spans="3:13" ht="14.65" thickBot="1" x14ac:dyDescent="0.5">
      <c r="C111" s="439">
        <f>+C92</f>
        <v>0</v>
      </c>
      <c r="D111" s="440">
        <f>IFERROR(AVERAGE('Proy Vtas'!C17:N17),0)</f>
        <v>0</v>
      </c>
      <c r="E111" s="441"/>
      <c r="F111" s="442">
        <f t="shared" si="3"/>
        <v>0</v>
      </c>
    </row>
    <row r="112" spans="3:13" ht="14.65" thickBot="1" x14ac:dyDescent="0.5">
      <c r="C112" s="432"/>
      <c r="D112" s="381"/>
      <c r="E112" s="432"/>
      <c r="F112" s="375"/>
    </row>
    <row r="113" spans="3:6" ht="14.65" thickBot="1" x14ac:dyDescent="0.5">
      <c r="C113" s="643" t="s">
        <v>29</v>
      </c>
      <c r="D113" s="644"/>
      <c r="E113" s="645"/>
      <c r="F113" s="443">
        <f>SUM(F106:F108)</f>
        <v>0</v>
      </c>
    </row>
  </sheetData>
  <mergeCells count="10">
    <mergeCell ref="C3:G3"/>
    <mergeCell ref="C30:F30"/>
    <mergeCell ref="C33:I33"/>
    <mergeCell ref="C113:E113"/>
    <mergeCell ref="I35:I49"/>
    <mergeCell ref="I50:I64"/>
    <mergeCell ref="I65:I79"/>
    <mergeCell ref="H36:H49"/>
    <mergeCell ref="H51:H64"/>
    <mergeCell ref="H66:H79"/>
  </mergeCells>
  <dataValidations count="2">
    <dataValidation type="textLength" allowBlank="1" showInputMessage="1" showErrorMessage="1" sqref="I50 C50 C80 I80 I92 C92" xr:uid="{00000000-0002-0000-0400-000000000000}">
      <formula1>1</formula1>
      <formula2>50</formula2>
    </dataValidation>
    <dataValidation type="textLength" allowBlank="1" showInputMessage="1" showErrorMessage="1" sqref="C35" xr:uid="{C4DCDA4A-7D47-4E88-893A-D36E140529F6}">
      <formula1>1</formula1>
      <formula2>250</formula2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AQ62"/>
  <sheetViews>
    <sheetView showGridLines="0" topLeftCell="A16" zoomScale="80" zoomScaleNormal="80" workbookViewId="0">
      <selection activeCell="G6" sqref="G6"/>
    </sheetView>
  </sheetViews>
  <sheetFormatPr baseColWidth="10" defaultColWidth="11.46484375" defaultRowHeight="12.75" x14ac:dyDescent="0.35"/>
  <cols>
    <col min="1" max="1" width="4.1328125" customWidth="1"/>
    <col min="2" max="2" width="21.53125" customWidth="1"/>
    <col min="4" max="4" width="14.86328125" customWidth="1"/>
    <col min="5" max="5" width="12" customWidth="1"/>
    <col min="6" max="6" width="8.6640625" customWidth="1"/>
    <col min="7" max="7" width="15.33203125" customWidth="1"/>
    <col min="8" max="8" width="9.86328125" customWidth="1"/>
    <col min="10" max="10" width="4.6640625" customWidth="1"/>
    <col min="11" max="11" width="15.6640625" customWidth="1"/>
    <col min="12" max="12" width="10.33203125" customWidth="1"/>
    <col min="23" max="23" width="7.33203125" customWidth="1"/>
  </cols>
  <sheetData>
    <row r="2" spans="2:43" ht="39.4" x14ac:dyDescent="0.35">
      <c r="B2" s="657" t="s">
        <v>77</v>
      </c>
      <c r="C2" s="658"/>
      <c r="D2" s="490" t="s">
        <v>134</v>
      </c>
      <c r="E2" s="655" t="s">
        <v>135</v>
      </c>
      <c r="F2" s="656"/>
      <c r="G2" s="490" t="s">
        <v>136</v>
      </c>
    </row>
    <row r="3" spans="2:43" ht="13.15" x14ac:dyDescent="0.4">
      <c r="B3" s="179" t="s">
        <v>137</v>
      </c>
      <c r="C3" s="489"/>
      <c r="D3" s="180">
        <f>+Costos!G30</f>
        <v>2890.833333333333</v>
      </c>
      <c r="E3" s="171"/>
      <c r="F3" s="169"/>
      <c r="G3" s="167"/>
    </row>
    <row r="4" spans="2:43" x14ac:dyDescent="0.35">
      <c r="B4" s="664" t="str">
        <f>+'Proy Vtas'!B12</f>
        <v>Publicación y Desarrollo de Trabajo completo</v>
      </c>
      <c r="C4" s="665"/>
      <c r="D4" s="377"/>
      <c r="E4" s="379">
        <v>0.43</v>
      </c>
      <c r="F4" s="167"/>
      <c r="G4" s="174">
        <f>$D$3*E4</f>
        <v>1243.0583333333332</v>
      </c>
    </row>
    <row r="5" spans="2:43" ht="12.75" customHeight="1" x14ac:dyDescent="0.35">
      <c r="B5" s="664" t="str">
        <f>+'Proy Vtas'!B13</f>
        <v>Denuncias o solicitudes de reembolso</v>
      </c>
      <c r="C5" s="665"/>
      <c r="D5" s="378"/>
      <c r="E5" s="379">
        <v>0.31</v>
      </c>
      <c r="F5" s="167"/>
      <c r="G5" s="174">
        <f t="shared" ref="G5:G9" si="0">$D$3*E5</f>
        <v>896.15833333333319</v>
      </c>
    </row>
    <row r="6" spans="2:43" ht="12.75" customHeight="1" x14ac:dyDescent="0.35">
      <c r="B6" s="664" t="str">
        <f>+'Proy Vtas'!B14</f>
        <v>Ventas de examenes resueltos</v>
      </c>
      <c r="C6" s="665"/>
      <c r="D6" s="378"/>
      <c r="E6" s="379">
        <v>0.26</v>
      </c>
      <c r="F6" s="167"/>
      <c r="G6" s="174">
        <f t="shared" si="0"/>
        <v>751.61666666666656</v>
      </c>
    </row>
    <row r="7" spans="2:43" x14ac:dyDescent="0.35">
      <c r="B7" s="666"/>
      <c r="C7" s="666"/>
      <c r="D7" s="378"/>
      <c r="E7" s="379">
        <v>0</v>
      </c>
      <c r="F7" s="168"/>
      <c r="G7" s="174">
        <f t="shared" si="0"/>
        <v>0</v>
      </c>
    </row>
    <row r="8" spans="2:43" x14ac:dyDescent="0.35">
      <c r="B8" s="666"/>
      <c r="C8" s="666"/>
      <c r="D8" s="378"/>
      <c r="E8" s="379">
        <v>0</v>
      </c>
      <c r="F8" s="170"/>
      <c r="G8" s="174">
        <f t="shared" si="0"/>
        <v>0</v>
      </c>
    </row>
    <row r="9" spans="2:43" x14ac:dyDescent="0.35">
      <c r="B9" s="666"/>
      <c r="C9" s="666"/>
      <c r="D9" s="170"/>
      <c r="E9" s="379">
        <v>0</v>
      </c>
      <c r="F9" s="277"/>
      <c r="G9" s="177">
        <f t="shared" si="0"/>
        <v>0</v>
      </c>
    </row>
    <row r="10" spans="2:43" x14ac:dyDescent="0.35">
      <c r="B10" s="667"/>
      <c r="C10" s="667"/>
      <c r="D10" s="667"/>
      <c r="E10" s="667"/>
      <c r="F10" s="667"/>
      <c r="G10" s="531">
        <f>SUM(G4:G9)</f>
        <v>2890.833333333333</v>
      </c>
    </row>
    <row r="11" spans="2:43" x14ac:dyDescent="0.35">
      <c r="B11" s="77"/>
      <c r="E11" s="376"/>
      <c r="G11" s="176"/>
    </row>
    <row r="12" spans="2:43" x14ac:dyDescent="0.35">
      <c r="E12" s="310"/>
    </row>
    <row r="14" spans="2:43" ht="15" x14ac:dyDescent="0.4">
      <c r="B14" s="162" t="str">
        <f>+B4</f>
        <v>Publicación y Desarrollo de Trabajo completo</v>
      </c>
      <c r="I14" s="162" t="str">
        <f>+B5</f>
        <v>Denuncias o solicitudes de reembolso</v>
      </c>
      <c r="P14" s="162" t="str">
        <f>+B6</f>
        <v>Ventas de examenes resueltos</v>
      </c>
      <c r="W14" s="162">
        <f>+B7</f>
        <v>0</v>
      </c>
      <c r="Y14" s="162"/>
      <c r="AD14" s="162">
        <f>+B8</f>
        <v>0</v>
      </c>
      <c r="AF14" s="162"/>
      <c r="AK14" s="162">
        <f>+B9</f>
        <v>0</v>
      </c>
      <c r="AM14" s="162"/>
    </row>
    <row r="15" spans="2:43" ht="13.15" thickBot="1" x14ac:dyDescent="0.4"/>
    <row r="16" spans="2:43" ht="71.25" customHeight="1" x14ac:dyDescent="0.6">
      <c r="B16" s="151"/>
      <c r="C16" s="661" t="s">
        <v>138</v>
      </c>
      <c r="D16" s="661"/>
      <c r="E16" s="661"/>
      <c r="F16" s="661"/>
      <c r="G16" s="661"/>
      <c r="H16" s="152"/>
      <c r="I16" s="151"/>
      <c r="J16" s="661" t="s">
        <v>138</v>
      </c>
      <c r="K16" s="661"/>
      <c r="L16" s="661"/>
      <c r="M16" s="661"/>
      <c r="N16" s="661"/>
      <c r="O16" s="152"/>
      <c r="P16" s="151"/>
      <c r="Q16" s="661" t="s">
        <v>138</v>
      </c>
      <c r="R16" s="661"/>
      <c r="S16" s="661"/>
      <c r="T16" s="661"/>
      <c r="U16" s="661"/>
      <c r="V16" s="152"/>
      <c r="W16" s="422"/>
      <c r="X16" s="661" t="s">
        <v>138</v>
      </c>
      <c r="Y16" s="661"/>
      <c r="Z16" s="661"/>
      <c r="AA16" s="661"/>
      <c r="AB16" s="661"/>
      <c r="AC16" s="152"/>
      <c r="AD16" s="151"/>
      <c r="AE16" s="661" t="s">
        <v>138</v>
      </c>
      <c r="AF16" s="661"/>
      <c r="AG16" s="661"/>
      <c r="AH16" s="661"/>
      <c r="AI16" s="661"/>
      <c r="AJ16" s="152"/>
      <c r="AK16" s="151"/>
      <c r="AL16" s="661" t="s">
        <v>138</v>
      </c>
      <c r="AM16" s="661"/>
      <c r="AN16" s="661"/>
      <c r="AO16" s="661"/>
      <c r="AP16" s="661"/>
      <c r="AQ16" s="152"/>
    </row>
    <row r="17" spans="2:43" x14ac:dyDescent="0.35">
      <c r="B17" s="153"/>
      <c r="H17" s="154"/>
      <c r="I17" s="153"/>
      <c r="O17" s="154"/>
      <c r="P17" s="153"/>
      <c r="V17" s="154"/>
      <c r="AC17" s="154"/>
      <c r="AD17" s="153"/>
      <c r="AJ17" s="154"/>
      <c r="AK17" s="153"/>
      <c r="AQ17" s="154"/>
    </row>
    <row r="18" spans="2:43" ht="13.15" thickBot="1" x14ac:dyDescent="0.4">
      <c r="B18" s="153"/>
      <c r="H18" s="154"/>
      <c r="I18" s="153"/>
      <c r="O18" s="154"/>
      <c r="P18" s="153"/>
      <c r="V18" s="154"/>
      <c r="AC18" s="154"/>
      <c r="AD18" s="153"/>
      <c r="AJ18" s="154"/>
      <c r="AK18" s="153"/>
      <c r="AQ18" s="154"/>
    </row>
    <row r="19" spans="2:43" ht="14.25" thickBot="1" x14ac:dyDescent="0.45">
      <c r="B19" s="153"/>
      <c r="C19" s="491" t="s">
        <v>139</v>
      </c>
      <c r="D19" s="491"/>
      <c r="E19" s="491"/>
      <c r="F19" s="491"/>
      <c r="H19" s="154"/>
      <c r="I19" s="153"/>
      <c r="J19" s="491" t="s">
        <v>139</v>
      </c>
      <c r="K19" s="491"/>
      <c r="L19" s="491"/>
      <c r="M19" s="491"/>
      <c r="O19" s="154"/>
      <c r="P19" s="153"/>
      <c r="Q19" s="668" t="s">
        <v>139</v>
      </c>
      <c r="R19" s="669"/>
      <c r="S19" s="669"/>
      <c r="T19" s="669"/>
      <c r="V19" s="154"/>
      <c r="X19" s="668" t="s">
        <v>139</v>
      </c>
      <c r="Y19" s="669"/>
      <c r="Z19" s="669"/>
      <c r="AA19" s="669"/>
      <c r="AC19" s="154"/>
      <c r="AD19" s="153"/>
      <c r="AE19" s="668" t="s">
        <v>139</v>
      </c>
      <c r="AF19" s="669"/>
      <c r="AG19" s="669"/>
      <c r="AH19" s="669"/>
      <c r="AJ19" s="154"/>
      <c r="AK19" s="153"/>
      <c r="AL19" s="668" t="s">
        <v>139</v>
      </c>
      <c r="AM19" s="669"/>
      <c r="AN19" s="669"/>
      <c r="AO19" s="669"/>
      <c r="AQ19" s="154"/>
    </row>
    <row r="20" spans="2:43" x14ac:dyDescent="0.35">
      <c r="B20" s="153"/>
      <c r="H20" s="154"/>
      <c r="I20" s="153"/>
      <c r="O20" s="154"/>
      <c r="P20" s="153"/>
      <c r="V20" s="154"/>
      <c r="AC20" s="154"/>
      <c r="AD20" s="153"/>
      <c r="AJ20" s="154"/>
      <c r="AK20" s="153"/>
      <c r="AQ20" s="154"/>
    </row>
    <row r="21" spans="2:43" x14ac:dyDescent="0.35">
      <c r="B21" s="153"/>
      <c r="C21" s="77" t="s">
        <v>140</v>
      </c>
      <c r="H21" s="154"/>
      <c r="I21" s="153"/>
      <c r="J21" s="77" t="s">
        <v>140</v>
      </c>
      <c r="O21" s="154"/>
      <c r="P21" s="153"/>
      <c r="Q21" s="77" t="s">
        <v>140</v>
      </c>
      <c r="V21" s="154"/>
      <c r="X21" s="77" t="s">
        <v>140</v>
      </c>
      <c r="AC21" s="154"/>
      <c r="AD21" s="153"/>
      <c r="AE21" s="77" t="s">
        <v>140</v>
      </c>
      <c r="AJ21" s="154"/>
      <c r="AK21" s="153"/>
      <c r="AL21" s="77" t="s">
        <v>140</v>
      </c>
      <c r="AQ21" s="154"/>
    </row>
    <row r="22" spans="2:43" x14ac:dyDescent="0.35">
      <c r="B22" s="153"/>
      <c r="H22" s="154"/>
      <c r="I22" s="153"/>
      <c r="O22" s="154"/>
      <c r="P22" s="153"/>
      <c r="V22" s="154"/>
      <c r="AC22" s="154"/>
      <c r="AD22" s="153"/>
      <c r="AJ22" s="154"/>
      <c r="AK22" s="153"/>
      <c r="AQ22" s="154"/>
    </row>
    <row r="23" spans="2:43" ht="13.9" x14ac:dyDescent="0.4">
      <c r="B23" s="153"/>
      <c r="D23" s="155" t="s">
        <v>141</v>
      </c>
      <c r="E23" s="1">
        <f>+Costos!H35</f>
        <v>0</v>
      </c>
      <c r="H23" s="154"/>
      <c r="I23" s="153"/>
      <c r="K23" s="155" t="s">
        <v>141</v>
      </c>
      <c r="L23" s="1">
        <f>+Costos!H50</f>
        <v>0</v>
      </c>
      <c r="O23" s="154"/>
      <c r="P23" s="153"/>
      <c r="R23" s="155" t="s">
        <v>141</v>
      </c>
      <c r="S23" s="1">
        <f>+Costos!H65</f>
        <v>3.2</v>
      </c>
      <c r="V23" s="154"/>
      <c r="Y23" s="155" t="s">
        <v>141</v>
      </c>
      <c r="Z23" s="1">
        <f>+Costos!H80</f>
        <v>0</v>
      </c>
      <c r="AC23" s="154"/>
      <c r="AD23" s="153"/>
      <c r="AF23" s="155" t="s">
        <v>141</v>
      </c>
      <c r="AG23" s="1">
        <f>+Costos!H86</f>
        <v>0</v>
      </c>
      <c r="AJ23" s="154"/>
      <c r="AK23" s="153"/>
      <c r="AM23" s="155" t="s">
        <v>141</v>
      </c>
      <c r="AN23" s="1">
        <f>+Costos!H92</f>
        <v>0</v>
      </c>
      <c r="AQ23" s="154"/>
    </row>
    <row r="24" spans="2:43" x14ac:dyDescent="0.35">
      <c r="B24" s="153"/>
      <c r="H24" s="154"/>
      <c r="I24" s="153"/>
      <c r="O24" s="154"/>
      <c r="P24" s="153"/>
      <c r="V24" s="154"/>
      <c r="AC24" s="154"/>
      <c r="AD24" s="153"/>
      <c r="AJ24" s="154"/>
      <c r="AK24" s="153"/>
      <c r="AQ24" s="154"/>
    </row>
    <row r="25" spans="2:43" ht="13.15" thickBot="1" x14ac:dyDescent="0.4">
      <c r="B25" s="153"/>
      <c r="H25" s="154"/>
      <c r="I25" s="153"/>
      <c r="O25" s="154"/>
      <c r="P25" s="153"/>
      <c r="V25" s="447"/>
      <c r="AC25" s="154"/>
      <c r="AD25" s="153"/>
      <c r="AJ25" s="154"/>
      <c r="AK25" s="153"/>
      <c r="AQ25" s="154"/>
    </row>
    <row r="26" spans="2:43" ht="14.25" thickBot="1" x14ac:dyDescent="0.45">
      <c r="B26" s="153"/>
      <c r="C26" s="491" t="s">
        <v>142</v>
      </c>
      <c r="D26" s="491"/>
      <c r="E26" s="491"/>
      <c r="F26" s="491"/>
      <c r="H26" s="154"/>
      <c r="I26" s="153"/>
      <c r="J26" s="491" t="s">
        <v>142</v>
      </c>
      <c r="K26" s="491"/>
      <c r="L26" s="491"/>
      <c r="M26" s="491"/>
      <c r="O26" s="154"/>
      <c r="P26" s="153"/>
      <c r="Q26" s="491" t="s">
        <v>142</v>
      </c>
      <c r="R26" s="491"/>
      <c r="S26" s="491"/>
      <c r="T26" s="491"/>
      <c r="V26" s="154"/>
      <c r="X26" s="491" t="s">
        <v>142</v>
      </c>
      <c r="Y26" s="491"/>
      <c r="Z26" s="491"/>
      <c r="AA26" s="491"/>
      <c r="AC26" s="154"/>
      <c r="AD26" s="153"/>
      <c r="AE26" s="491" t="s">
        <v>142</v>
      </c>
      <c r="AF26" s="491"/>
      <c r="AG26" s="491"/>
      <c r="AJ26" s="154"/>
      <c r="AK26" s="153"/>
      <c r="AL26" s="491" t="s">
        <v>142</v>
      </c>
      <c r="AM26" s="491"/>
      <c r="AN26" s="491"/>
      <c r="AQ26" s="154"/>
    </row>
    <row r="27" spans="2:43" x14ac:dyDescent="0.35">
      <c r="B27" s="153"/>
      <c r="H27" s="154"/>
      <c r="I27" s="153"/>
      <c r="O27" s="154"/>
      <c r="P27" s="153"/>
      <c r="V27" s="154"/>
      <c r="AC27" s="154"/>
      <c r="AD27" s="153"/>
      <c r="AJ27" s="154"/>
      <c r="AK27" s="153"/>
      <c r="AQ27" s="154"/>
    </row>
    <row r="28" spans="2:43" x14ac:dyDescent="0.35">
      <c r="B28" s="153"/>
      <c r="H28" s="154"/>
      <c r="I28" s="153"/>
      <c r="O28" s="154"/>
      <c r="P28" s="153"/>
      <c r="V28" s="154"/>
      <c r="AC28" s="154"/>
      <c r="AD28" s="153"/>
      <c r="AJ28" s="154"/>
      <c r="AK28" s="153"/>
      <c r="AQ28" s="154"/>
    </row>
    <row r="29" spans="2:43" ht="16.5" customHeight="1" x14ac:dyDescent="0.35">
      <c r="B29" s="153"/>
      <c r="H29" s="154"/>
      <c r="I29" s="153"/>
      <c r="O29" s="154"/>
      <c r="P29" s="153"/>
      <c r="V29" s="154"/>
      <c r="AC29" s="154"/>
      <c r="AD29" s="153"/>
      <c r="AJ29" s="154"/>
      <c r="AK29" s="153"/>
      <c r="AQ29" s="154"/>
    </row>
    <row r="30" spans="2:43" ht="15.75" customHeight="1" x14ac:dyDescent="0.35">
      <c r="B30" s="153"/>
      <c r="H30" s="154"/>
      <c r="I30" s="153"/>
      <c r="O30" s="154"/>
      <c r="P30" s="153"/>
      <c r="V30" s="154"/>
      <c r="AC30" s="154"/>
      <c r="AD30" s="153"/>
      <c r="AJ30" s="154"/>
      <c r="AK30" s="153"/>
      <c r="AQ30" s="154"/>
    </row>
    <row r="31" spans="2:43" x14ac:dyDescent="0.35">
      <c r="B31" s="153"/>
      <c r="H31" s="154"/>
      <c r="I31" s="153"/>
      <c r="O31" s="154"/>
      <c r="P31" s="153"/>
      <c r="V31" s="154"/>
      <c r="AC31" s="154"/>
      <c r="AD31" s="153"/>
      <c r="AJ31" s="154"/>
      <c r="AK31" s="153"/>
      <c r="AQ31" s="154"/>
    </row>
    <row r="32" spans="2:43" x14ac:dyDescent="0.35">
      <c r="B32" s="153"/>
      <c r="H32" s="154"/>
      <c r="I32" s="153"/>
      <c r="O32" s="154"/>
      <c r="P32" s="153"/>
      <c r="V32" s="154"/>
      <c r="AC32" s="154"/>
      <c r="AD32" s="153"/>
      <c r="AJ32" s="154"/>
      <c r="AK32" s="153"/>
      <c r="AQ32" s="154"/>
    </row>
    <row r="33" spans="2:43" x14ac:dyDescent="0.35">
      <c r="B33" s="153"/>
      <c r="H33" s="154"/>
      <c r="I33" s="153"/>
      <c r="O33" s="154"/>
      <c r="P33" s="153"/>
      <c r="V33" s="154"/>
      <c r="AC33" s="154"/>
      <c r="AD33" s="153"/>
      <c r="AJ33" s="154"/>
      <c r="AK33" s="153"/>
      <c r="AQ33" s="154"/>
    </row>
    <row r="34" spans="2:43" x14ac:dyDescent="0.35">
      <c r="B34" s="153"/>
      <c r="H34" s="154"/>
      <c r="I34" s="153"/>
      <c r="O34" s="154"/>
      <c r="P34" s="153"/>
      <c r="V34" s="154"/>
      <c r="AC34" s="154"/>
      <c r="AD34" s="153"/>
      <c r="AJ34" s="154"/>
      <c r="AK34" s="153"/>
      <c r="AQ34" s="154"/>
    </row>
    <row r="35" spans="2:43" x14ac:dyDescent="0.35">
      <c r="B35" s="153"/>
      <c r="C35" s="156" t="s">
        <v>143</v>
      </c>
      <c r="D35" s="77" t="s">
        <v>144</v>
      </c>
      <c r="H35" s="154"/>
      <c r="I35" s="153"/>
      <c r="J35" s="156" t="s">
        <v>143</v>
      </c>
      <c r="K35" s="77" t="s">
        <v>144</v>
      </c>
      <c r="O35" s="154"/>
      <c r="P35" s="153"/>
      <c r="Q35" s="156" t="s">
        <v>143</v>
      </c>
      <c r="R35" s="77" t="s">
        <v>144</v>
      </c>
      <c r="V35" s="154"/>
      <c r="X35" s="156" t="s">
        <v>143</v>
      </c>
      <c r="Y35" s="77" t="s">
        <v>144</v>
      </c>
      <c r="AC35" s="154"/>
      <c r="AD35" s="153"/>
      <c r="AE35" s="156" t="s">
        <v>143</v>
      </c>
      <c r="AF35" s="77" t="s">
        <v>144</v>
      </c>
      <c r="AJ35" s="154"/>
      <c r="AK35" s="153"/>
      <c r="AL35" s="156" t="s">
        <v>143</v>
      </c>
      <c r="AM35" s="77" t="s">
        <v>144</v>
      </c>
      <c r="AQ35" s="154"/>
    </row>
    <row r="36" spans="2:43" x14ac:dyDescent="0.35">
      <c r="B36" s="153"/>
      <c r="C36" s="156" t="s">
        <v>145</v>
      </c>
      <c r="D36" s="77" t="s">
        <v>146</v>
      </c>
      <c r="H36" s="154"/>
      <c r="I36" s="153"/>
      <c r="J36" s="156" t="s">
        <v>145</v>
      </c>
      <c r="K36" s="77" t="s">
        <v>146</v>
      </c>
      <c r="O36" s="154"/>
      <c r="P36" s="153"/>
      <c r="Q36" s="156" t="s">
        <v>145</v>
      </c>
      <c r="R36" s="77" t="s">
        <v>146</v>
      </c>
      <c r="V36" s="154"/>
      <c r="X36" s="156" t="s">
        <v>145</v>
      </c>
      <c r="Y36" s="77" t="s">
        <v>146</v>
      </c>
      <c r="AC36" s="154"/>
      <c r="AD36" s="153"/>
      <c r="AE36" s="156" t="s">
        <v>145</v>
      </c>
      <c r="AF36" s="77" t="s">
        <v>146</v>
      </c>
      <c r="AJ36" s="154"/>
      <c r="AK36" s="153"/>
      <c r="AL36" s="156" t="s">
        <v>145</v>
      </c>
      <c r="AM36" s="77" t="s">
        <v>146</v>
      </c>
      <c r="AQ36" s="154"/>
    </row>
    <row r="37" spans="2:43" x14ac:dyDescent="0.35">
      <c r="B37" s="153"/>
      <c r="H37" s="154"/>
      <c r="I37" s="153"/>
      <c r="O37" s="154"/>
      <c r="P37" s="153"/>
      <c r="V37" s="154"/>
      <c r="AC37" s="154"/>
      <c r="AD37" s="153"/>
      <c r="AJ37" s="154"/>
      <c r="AK37" s="153"/>
      <c r="AQ37" s="154"/>
    </row>
    <row r="38" spans="2:43" x14ac:dyDescent="0.35">
      <c r="B38" s="153"/>
      <c r="H38" s="154"/>
      <c r="I38" s="153"/>
      <c r="O38" s="154"/>
      <c r="P38" s="153"/>
      <c r="V38" s="154"/>
      <c r="AC38" s="154"/>
      <c r="AD38" s="153"/>
      <c r="AJ38" s="154"/>
      <c r="AK38" s="153"/>
      <c r="AQ38" s="154"/>
    </row>
    <row r="39" spans="2:43" ht="13.15" x14ac:dyDescent="0.35">
      <c r="B39" s="153"/>
      <c r="D39" s="157" t="s">
        <v>147</v>
      </c>
      <c r="E39" s="1">
        <f>+G4</f>
        <v>1243.0583333333332</v>
      </c>
      <c r="F39" s="158"/>
      <c r="H39" s="154"/>
      <c r="I39" s="153"/>
      <c r="K39" s="157" t="s">
        <v>147</v>
      </c>
      <c r="L39" s="1">
        <f>+G5</f>
        <v>896.15833333333319</v>
      </c>
      <c r="M39" s="158"/>
      <c r="O39" s="154"/>
      <c r="P39" s="153"/>
      <c r="R39" s="157" t="s">
        <v>147</v>
      </c>
      <c r="S39" s="1">
        <f>+G6</f>
        <v>751.61666666666656</v>
      </c>
      <c r="T39" s="158"/>
      <c r="V39" s="154"/>
      <c r="Y39" s="157" t="s">
        <v>147</v>
      </c>
      <c r="Z39" s="1">
        <f>+G7</f>
        <v>0</v>
      </c>
      <c r="AA39" s="158"/>
      <c r="AC39" s="154"/>
      <c r="AD39" s="153"/>
      <c r="AF39" s="157" t="s">
        <v>147</v>
      </c>
      <c r="AG39" s="1">
        <f>+G8</f>
        <v>0</v>
      </c>
      <c r="AH39" s="158"/>
      <c r="AJ39" s="154"/>
      <c r="AK39" s="153"/>
      <c r="AM39" s="157" t="s">
        <v>147</v>
      </c>
      <c r="AN39" s="1">
        <f>+G9</f>
        <v>0</v>
      </c>
      <c r="AO39" s="158"/>
      <c r="AQ39" s="154"/>
    </row>
    <row r="40" spans="2:43" ht="13.15" x14ac:dyDescent="0.35">
      <c r="B40" s="153"/>
      <c r="D40" s="157" t="s">
        <v>145</v>
      </c>
      <c r="E40" s="493">
        <f>+AVERAGE('Proy Vtas'!C12:N12)</f>
        <v>0</v>
      </c>
      <c r="F40" s="158"/>
      <c r="H40" s="154"/>
      <c r="I40" s="153"/>
      <c r="K40" s="157" t="s">
        <v>145</v>
      </c>
      <c r="L40" s="493">
        <f>+AVERAGE('Proy Vtas'!C13:N13)</f>
        <v>0</v>
      </c>
      <c r="M40" s="158"/>
      <c r="O40" s="154"/>
      <c r="P40" s="153"/>
      <c r="R40" s="157" t="s">
        <v>145</v>
      </c>
      <c r="S40" s="493">
        <f>+AVERAGE('Proy Vtas'!C14:N14)</f>
        <v>0</v>
      </c>
      <c r="T40" s="158"/>
      <c r="V40" s="154"/>
      <c r="Y40" s="157" t="s">
        <v>145</v>
      </c>
      <c r="Z40" s="493">
        <f>+'Proy Vtas'!C15</f>
        <v>0</v>
      </c>
      <c r="AA40" s="158"/>
      <c r="AC40" s="154"/>
      <c r="AD40" s="153"/>
      <c r="AF40" s="157" t="s">
        <v>145</v>
      </c>
      <c r="AG40" s="493">
        <f>+'Proy Vtas'!C16</f>
        <v>0</v>
      </c>
      <c r="AH40" s="158"/>
      <c r="AJ40" s="154"/>
      <c r="AK40" s="153"/>
      <c r="AM40" s="157" t="s">
        <v>145</v>
      </c>
      <c r="AN40" s="493">
        <f>+'Proy Vtas'!C17</f>
        <v>0</v>
      </c>
      <c r="AO40" s="158"/>
      <c r="AQ40" s="154"/>
    </row>
    <row r="41" spans="2:43" ht="13.15" thickBot="1" x14ac:dyDescent="0.4">
      <c r="B41" s="153"/>
      <c r="H41" s="154"/>
      <c r="I41" s="153"/>
      <c r="O41" s="154"/>
      <c r="P41" s="153"/>
      <c r="V41" s="154"/>
      <c r="AC41" s="154"/>
      <c r="AD41" s="153"/>
      <c r="AJ41" s="154"/>
      <c r="AK41" s="153"/>
      <c r="AQ41" s="154"/>
    </row>
    <row r="42" spans="2:43" ht="13.15" x14ac:dyDescent="0.35">
      <c r="B42" s="153"/>
      <c r="D42" s="660" t="s">
        <v>148</v>
      </c>
      <c r="E42" s="274">
        <f>IF(ISERROR(E39/E40),0,E39/E40)</f>
        <v>0</v>
      </c>
      <c r="H42" s="154"/>
      <c r="I42" s="153"/>
      <c r="K42" s="660" t="s">
        <v>148</v>
      </c>
      <c r="L42" s="274">
        <f>IF(ISERROR(L39/L40),0,L39/L40)</f>
        <v>0</v>
      </c>
      <c r="O42" s="154"/>
      <c r="P42" s="153"/>
      <c r="R42" s="660" t="s">
        <v>148</v>
      </c>
      <c r="S42" s="274">
        <f>IF(ISERROR(S39/S40),0,S39/S40)</f>
        <v>0</v>
      </c>
      <c r="V42" s="154"/>
      <c r="Y42" s="660" t="s">
        <v>148</v>
      </c>
      <c r="Z42" s="274">
        <f>IF(ISERROR(Z39/Z40),0,Z39/Z40)</f>
        <v>0</v>
      </c>
      <c r="AC42" s="154"/>
      <c r="AD42" s="153"/>
      <c r="AF42" s="660" t="s">
        <v>148</v>
      </c>
      <c r="AG42" s="274">
        <f>IF(ISERROR(AG39/AG40),0,AG39/AG40)</f>
        <v>0</v>
      </c>
      <c r="AJ42" s="154"/>
      <c r="AK42" s="153"/>
      <c r="AM42" s="660" t="s">
        <v>148</v>
      </c>
      <c r="AN42" s="274">
        <f>IF(ISERROR(AN39/AN40),0,AN39/AN40)</f>
        <v>0</v>
      </c>
      <c r="AQ42" s="154"/>
    </row>
    <row r="43" spans="2:43" ht="13.5" thickBot="1" x14ac:dyDescent="0.4">
      <c r="B43" s="153"/>
      <c r="D43" s="660"/>
      <c r="E43" s="275"/>
      <c r="H43" s="154"/>
      <c r="I43" s="153"/>
      <c r="K43" s="660"/>
      <c r="L43" s="275"/>
      <c r="O43" s="154"/>
      <c r="P43" s="153"/>
      <c r="R43" s="660"/>
      <c r="S43" s="275"/>
      <c r="V43" s="154"/>
      <c r="Y43" s="660"/>
      <c r="Z43" s="275"/>
      <c r="AC43" s="154"/>
      <c r="AD43" s="153"/>
      <c r="AF43" s="660"/>
      <c r="AG43" s="275"/>
      <c r="AJ43" s="154"/>
      <c r="AK43" s="153"/>
      <c r="AM43" s="660"/>
      <c r="AN43" s="275"/>
      <c r="AQ43" s="154"/>
    </row>
    <row r="44" spans="2:43" x14ac:dyDescent="0.35">
      <c r="B44" s="153"/>
      <c r="H44" s="154"/>
      <c r="I44" s="153"/>
      <c r="O44" s="154"/>
      <c r="P44" s="153"/>
      <c r="V44" s="154"/>
      <c r="AC44" s="154"/>
      <c r="AD44" s="153"/>
      <c r="AJ44" s="154"/>
      <c r="AK44" s="153"/>
      <c r="AQ44" s="154"/>
    </row>
    <row r="45" spans="2:43" x14ac:dyDescent="0.35">
      <c r="B45" s="153"/>
      <c r="H45" s="154"/>
      <c r="I45" s="153"/>
      <c r="O45" s="154"/>
      <c r="P45" s="153"/>
      <c r="V45" s="154"/>
      <c r="AC45" s="154"/>
      <c r="AD45" s="153"/>
      <c r="AJ45" s="154"/>
      <c r="AK45" s="153"/>
      <c r="AQ45" s="154"/>
    </row>
    <row r="46" spans="2:43" x14ac:dyDescent="0.35">
      <c r="B46" s="153"/>
      <c r="H46" s="154"/>
      <c r="I46" s="153"/>
      <c r="O46" s="154"/>
      <c r="P46" s="153"/>
      <c r="V46" s="154"/>
      <c r="AC46" s="154"/>
      <c r="AD46" s="153"/>
      <c r="AJ46" s="154"/>
      <c r="AK46" s="153"/>
      <c r="AQ46" s="154"/>
    </row>
    <row r="47" spans="2:43" ht="13.15" thickBot="1" x14ac:dyDescent="0.4">
      <c r="B47" s="153"/>
      <c r="H47" s="154"/>
      <c r="I47" s="153"/>
      <c r="O47" s="154"/>
      <c r="P47" s="153"/>
      <c r="V47" s="154"/>
      <c r="AC47" s="154"/>
      <c r="AD47" s="153"/>
      <c r="AJ47" s="154"/>
      <c r="AK47" s="153"/>
      <c r="AQ47" s="154"/>
    </row>
    <row r="48" spans="2:43" ht="14.25" thickBot="1" x14ac:dyDescent="0.45">
      <c r="B48" s="153"/>
      <c r="C48" s="662" t="s">
        <v>149</v>
      </c>
      <c r="D48" s="663"/>
      <c r="E48" s="663"/>
      <c r="F48" s="663"/>
      <c r="G48" s="663"/>
      <c r="H48" s="154"/>
      <c r="I48" s="153"/>
      <c r="J48" s="182" t="s">
        <v>149</v>
      </c>
      <c r="K48" s="183"/>
      <c r="L48" s="183"/>
      <c r="M48" s="183"/>
      <c r="N48" s="183"/>
      <c r="O48" s="154"/>
      <c r="P48" s="153"/>
      <c r="Q48" s="662" t="s">
        <v>149</v>
      </c>
      <c r="R48" s="663"/>
      <c r="S48" s="663"/>
      <c r="T48" s="663"/>
      <c r="U48" s="663"/>
      <c r="V48" s="154"/>
      <c r="X48" s="662" t="s">
        <v>149</v>
      </c>
      <c r="Y48" s="663"/>
      <c r="Z48" s="663"/>
      <c r="AA48" s="663"/>
      <c r="AB48" s="663"/>
      <c r="AC48" s="154"/>
      <c r="AD48" s="153"/>
      <c r="AE48" s="662" t="s">
        <v>149</v>
      </c>
      <c r="AF48" s="663"/>
      <c r="AG48" s="663"/>
      <c r="AH48" s="663"/>
      <c r="AI48" s="663"/>
      <c r="AJ48" s="154"/>
      <c r="AK48" s="153"/>
      <c r="AL48" s="662" t="s">
        <v>149</v>
      </c>
      <c r="AM48" s="663"/>
      <c r="AN48" s="663"/>
      <c r="AO48" s="663"/>
      <c r="AP48" s="663"/>
      <c r="AQ48" s="154"/>
    </row>
    <row r="49" spans="2:43" x14ac:dyDescent="0.35">
      <c r="B49" s="153"/>
      <c r="H49" s="154"/>
      <c r="I49" s="153"/>
      <c r="O49" s="154"/>
      <c r="P49" s="153"/>
      <c r="V49" s="154"/>
      <c r="AC49" s="154"/>
      <c r="AD49" s="153"/>
      <c r="AJ49" s="154"/>
      <c r="AK49" s="153"/>
      <c r="AQ49" s="154"/>
    </row>
    <row r="50" spans="2:43" x14ac:dyDescent="0.35">
      <c r="B50" s="153"/>
      <c r="H50" s="154"/>
      <c r="I50" s="153"/>
      <c r="O50" s="154"/>
      <c r="P50" s="153"/>
      <c r="V50" s="154"/>
      <c r="AC50" s="154"/>
      <c r="AD50" s="153"/>
      <c r="AJ50" s="154"/>
      <c r="AK50" s="153"/>
      <c r="AQ50" s="154"/>
    </row>
    <row r="51" spans="2:43" x14ac:dyDescent="0.35">
      <c r="B51" s="153"/>
      <c r="H51" s="154"/>
      <c r="I51" s="153"/>
      <c r="O51" s="154"/>
      <c r="P51" s="153"/>
      <c r="V51" s="154"/>
      <c r="AC51" s="154"/>
      <c r="AD51" s="153"/>
      <c r="AJ51" s="154"/>
      <c r="AK51" s="153"/>
      <c r="AQ51" s="154"/>
    </row>
    <row r="52" spans="2:43" x14ac:dyDescent="0.35">
      <c r="B52" s="153"/>
      <c r="H52" s="154"/>
      <c r="I52" s="153"/>
      <c r="O52" s="154"/>
      <c r="P52" s="153"/>
      <c r="V52" s="154"/>
      <c r="AC52" s="154"/>
      <c r="AD52" s="153"/>
      <c r="AJ52" s="154"/>
      <c r="AK52" s="153"/>
      <c r="AQ52" s="154"/>
    </row>
    <row r="53" spans="2:43" x14ac:dyDescent="0.35">
      <c r="B53" s="153"/>
      <c r="H53" s="154"/>
      <c r="I53" s="153"/>
      <c r="O53" s="154"/>
      <c r="P53" s="153"/>
      <c r="V53" s="154"/>
      <c r="AC53" s="154"/>
      <c r="AD53" s="153"/>
      <c r="AJ53" s="154"/>
      <c r="AK53" s="153"/>
      <c r="AQ53" s="154"/>
    </row>
    <row r="54" spans="2:43" x14ac:dyDescent="0.35">
      <c r="B54" s="153"/>
      <c r="H54" s="154"/>
      <c r="I54" s="153"/>
      <c r="O54" s="154"/>
      <c r="P54" s="153"/>
      <c r="V54" s="154"/>
      <c r="AC54" s="154"/>
      <c r="AD54" s="153"/>
      <c r="AJ54" s="154"/>
      <c r="AK54" s="153"/>
      <c r="AQ54" s="154"/>
    </row>
    <row r="55" spans="2:43" x14ac:dyDescent="0.35">
      <c r="B55" s="153"/>
      <c r="C55" s="156" t="s">
        <v>150</v>
      </c>
      <c r="H55" s="154"/>
      <c r="I55" s="153"/>
      <c r="J55" s="156" t="s">
        <v>150</v>
      </c>
      <c r="O55" s="154"/>
      <c r="P55" s="153"/>
      <c r="Q55" s="156" t="s">
        <v>150</v>
      </c>
      <c r="V55" s="154"/>
      <c r="X55" s="156" t="s">
        <v>150</v>
      </c>
      <c r="AC55" s="154"/>
      <c r="AD55" s="153"/>
      <c r="AE55" s="156" t="s">
        <v>150</v>
      </c>
      <c r="AJ55" s="154"/>
      <c r="AK55" s="153"/>
      <c r="AL55" s="156" t="s">
        <v>150</v>
      </c>
      <c r="AQ55" s="154"/>
    </row>
    <row r="56" spans="2:43" x14ac:dyDescent="0.35">
      <c r="B56" s="153"/>
      <c r="C56" s="156" t="s">
        <v>141</v>
      </c>
      <c r="D56" s="659" t="s">
        <v>151</v>
      </c>
      <c r="E56" s="659"/>
      <c r="H56" s="154"/>
      <c r="I56" s="153"/>
      <c r="J56" s="156" t="s">
        <v>141</v>
      </c>
      <c r="K56" s="659" t="s">
        <v>151</v>
      </c>
      <c r="L56" s="659"/>
      <c r="O56" s="154"/>
      <c r="P56" s="153"/>
      <c r="Q56" s="156" t="s">
        <v>141</v>
      </c>
      <c r="R56" s="659" t="s">
        <v>151</v>
      </c>
      <c r="S56" s="659"/>
      <c r="V56" s="154"/>
      <c r="X56" s="156" t="s">
        <v>141</v>
      </c>
      <c r="Y56" s="659" t="s">
        <v>151</v>
      </c>
      <c r="Z56" s="659"/>
      <c r="AC56" s="154"/>
      <c r="AD56" s="153"/>
      <c r="AE56" s="156" t="s">
        <v>141</v>
      </c>
      <c r="AF56" s="659" t="s">
        <v>151</v>
      </c>
      <c r="AG56" s="659"/>
      <c r="AJ56" s="154"/>
      <c r="AK56" s="153"/>
      <c r="AL56" s="156" t="s">
        <v>141</v>
      </c>
      <c r="AM56" s="659" t="s">
        <v>151</v>
      </c>
      <c r="AN56" s="659"/>
      <c r="AQ56" s="154"/>
    </row>
    <row r="57" spans="2:43" x14ac:dyDescent="0.35">
      <c r="B57" s="153"/>
      <c r="C57" s="156" t="s">
        <v>148</v>
      </c>
      <c r="D57" s="659" t="s">
        <v>152</v>
      </c>
      <c r="E57" s="659"/>
      <c r="H57" s="154"/>
      <c r="I57" s="153"/>
      <c r="J57" s="156" t="s">
        <v>148</v>
      </c>
      <c r="K57" s="659" t="s">
        <v>152</v>
      </c>
      <c r="L57" s="659"/>
      <c r="O57" s="154"/>
      <c r="P57" s="153"/>
      <c r="Q57" s="156" t="s">
        <v>148</v>
      </c>
      <c r="R57" s="659" t="s">
        <v>152</v>
      </c>
      <c r="S57" s="659"/>
      <c r="V57" s="154"/>
      <c r="X57" s="156" t="s">
        <v>148</v>
      </c>
      <c r="Y57" s="659" t="s">
        <v>152</v>
      </c>
      <c r="Z57" s="659"/>
      <c r="AC57" s="154"/>
      <c r="AD57" s="153"/>
      <c r="AE57" s="156" t="s">
        <v>148</v>
      </c>
      <c r="AF57" s="659" t="s">
        <v>152</v>
      </c>
      <c r="AG57" s="659"/>
      <c r="AJ57" s="154"/>
      <c r="AK57" s="153"/>
      <c r="AL57" s="156" t="s">
        <v>148</v>
      </c>
      <c r="AM57" s="659" t="s">
        <v>152</v>
      </c>
      <c r="AN57" s="659"/>
      <c r="AQ57" s="154"/>
    </row>
    <row r="58" spans="2:43" x14ac:dyDescent="0.35">
      <c r="B58" s="153"/>
      <c r="H58" s="154"/>
      <c r="I58" s="153"/>
      <c r="O58" s="154"/>
      <c r="P58" s="153"/>
      <c r="V58" s="154"/>
      <c r="AC58" s="154"/>
      <c r="AD58" s="153"/>
      <c r="AJ58" s="154"/>
      <c r="AK58" s="153"/>
      <c r="AQ58" s="154"/>
    </row>
    <row r="59" spans="2:43" x14ac:dyDescent="0.35">
      <c r="B59" s="153"/>
      <c r="H59" s="154"/>
      <c r="I59" s="153"/>
      <c r="O59" s="154"/>
      <c r="P59" s="153"/>
      <c r="V59" s="154"/>
      <c r="AC59" s="154"/>
      <c r="AD59" s="153"/>
      <c r="AJ59" s="154"/>
      <c r="AK59" s="153"/>
      <c r="AQ59" s="154"/>
    </row>
    <row r="60" spans="2:43" ht="13.9" x14ac:dyDescent="0.4">
      <c r="B60" s="153"/>
      <c r="D60" s="155" t="s">
        <v>153</v>
      </c>
      <c r="E60" s="1">
        <f>+E42+E23</f>
        <v>0</v>
      </c>
      <c r="H60" s="154"/>
      <c r="I60" s="153"/>
      <c r="K60" s="155" t="s">
        <v>153</v>
      </c>
      <c r="L60" s="1">
        <f>+L42+L23</f>
        <v>0</v>
      </c>
      <c r="O60" s="154"/>
      <c r="P60" s="153"/>
      <c r="R60" s="155" t="s">
        <v>153</v>
      </c>
      <c r="S60" s="1">
        <f>+S42+S23</f>
        <v>3.2</v>
      </c>
      <c r="V60" s="154"/>
      <c r="Y60" s="155" t="s">
        <v>153</v>
      </c>
      <c r="Z60" s="1">
        <f>+Z42+Z23</f>
        <v>0</v>
      </c>
      <c r="AC60" s="154"/>
      <c r="AD60" s="153"/>
      <c r="AF60" s="155" t="s">
        <v>153</v>
      </c>
      <c r="AG60" s="1">
        <f>+AG42+AG23</f>
        <v>0</v>
      </c>
      <c r="AJ60" s="154"/>
      <c r="AK60" s="153"/>
      <c r="AM60" s="155" t="s">
        <v>153</v>
      </c>
      <c r="AN60" s="1">
        <f>+AN42+AN23</f>
        <v>0</v>
      </c>
      <c r="AQ60" s="154"/>
    </row>
    <row r="61" spans="2:43" x14ac:dyDescent="0.35">
      <c r="B61" s="153"/>
      <c r="H61" s="154"/>
      <c r="I61" s="153"/>
      <c r="O61" s="154"/>
      <c r="P61" s="153"/>
      <c r="V61" s="154"/>
      <c r="AC61" s="154"/>
      <c r="AD61" s="153"/>
      <c r="AJ61" s="154"/>
      <c r="AK61" s="153"/>
      <c r="AQ61" s="154"/>
    </row>
    <row r="62" spans="2:43" ht="13.15" thickBot="1" x14ac:dyDescent="0.4">
      <c r="B62" s="159"/>
      <c r="C62" s="160"/>
      <c r="D62" s="160"/>
      <c r="E62" s="160"/>
      <c r="F62" s="160"/>
      <c r="G62" s="160"/>
      <c r="H62" s="161"/>
      <c r="I62" s="159"/>
      <c r="J62" s="160"/>
      <c r="K62" s="160"/>
      <c r="L62" s="160"/>
      <c r="M62" s="160"/>
      <c r="N62" s="160"/>
      <c r="O62" s="161"/>
      <c r="P62" s="159"/>
      <c r="Q62" s="160"/>
      <c r="R62" s="160"/>
      <c r="S62" s="160"/>
      <c r="T62" s="160"/>
      <c r="U62" s="160"/>
      <c r="V62" s="161"/>
      <c r="W62" s="160"/>
      <c r="X62" s="160"/>
      <c r="Y62" s="160"/>
      <c r="Z62" s="160"/>
      <c r="AA62" s="160"/>
      <c r="AB62" s="160"/>
      <c r="AC62" s="161"/>
      <c r="AD62" s="159"/>
      <c r="AE62" s="160"/>
      <c r="AF62" s="160"/>
      <c r="AG62" s="160"/>
      <c r="AH62" s="160"/>
      <c r="AI62" s="160"/>
      <c r="AJ62" s="161"/>
      <c r="AK62" s="159"/>
      <c r="AL62" s="160"/>
      <c r="AM62" s="160"/>
      <c r="AN62" s="160"/>
      <c r="AO62" s="160"/>
      <c r="AP62" s="160"/>
      <c r="AQ62" s="161"/>
    </row>
  </sheetData>
  <mergeCells count="42">
    <mergeCell ref="AM57:AN57"/>
    <mergeCell ref="AL16:AP16"/>
    <mergeCell ref="AL19:AO19"/>
    <mergeCell ref="AM42:AM43"/>
    <mergeCell ref="AL48:AP48"/>
    <mergeCell ref="AM56:AN56"/>
    <mergeCell ref="Y42:Y43"/>
    <mergeCell ref="X48:AB48"/>
    <mergeCell ref="Y56:Z56"/>
    <mergeCell ref="Y57:Z57"/>
    <mergeCell ref="AE16:AI16"/>
    <mergeCell ref="AE19:AH19"/>
    <mergeCell ref="AF42:AF43"/>
    <mergeCell ref="AE48:AI48"/>
    <mergeCell ref="AF56:AG56"/>
    <mergeCell ref="AF57:AG57"/>
    <mergeCell ref="X16:AB16"/>
    <mergeCell ref="X19:AA19"/>
    <mergeCell ref="J16:N16"/>
    <mergeCell ref="K42:K43"/>
    <mergeCell ref="K56:L56"/>
    <mergeCell ref="K57:L57"/>
    <mergeCell ref="Q16:U16"/>
    <mergeCell ref="R42:R43"/>
    <mergeCell ref="R56:S56"/>
    <mergeCell ref="R57:S57"/>
    <mergeCell ref="Q48:U48"/>
    <mergeCell ref="Q19:T19"/>
    <mergeCell ref="E2:F2"/>
    <mergeCell ref="B2:C2"/>
    <mergeCell ref="D56:E56"/>
    <mergeCell ref="D57:E57"/>
    <mergeCell ref="D42:D43"/>
    <mergeCell ref="C16:G16"/>
    <mergeCell ref="C48:G48"/>
    <mergeCell ref="B4:C4"/>
    <mergeCell ref="B5:C5"/>
    <mergeCell ref="B6:C6"/>
    <mergeCell ref="B7:C7"/>
    <mergeCell ref="B8:C8"/>
    <mergeCell ref="B9:C9"/>
    <mergeCell ref="B10:F10"/>
  </mergeCells>
  <phoneticPr fontId="0" type="noConversion"/>
  <pageMargins left="1.1417322834645669" right="0.94488188976377963" top="0.98425196850393704" bottom="0.98425196850393704" header="0" footer="0"/>
  <pageSetup paperSize="9" orientation="portrait" horizontalDpi="360" verticalDpi="360" r:id="rId1"/>
  <headerFooter alignWithMargins="0">
    <oddFooter>&amp;C
Costo Unitario - Plan de Negocio
SYSA Cultura Emprendedora
www.culturaemprendedora.com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3:T116"/>
  <sheetViews>
    <sheetView showGridLines="0" zoomScale="90" zoomScaleNormal="90" workbookViewId="0">
      <selection activeCell="B13" sqref="B13"/>
    </sheetView>
  </sheetViews>
  <sheetFormatPr baseColWidth="10" defaultColWidth="11.46484375" defaultRowHeight="12.75" x14ac:dyDescent="0.35"/>
  <cols>
    <col min="1" max="1" width="2.1328125" style="2" customWidth="1"/>
    <col min="2" max="2" width="26.86328125" style="2" customWidth="1"/>
    <col min="3" max="15" width="13.46484375" style="2" customWidth="1"/>
    <col min="16" max="16" width="4.1328125" style="2" customWidth="1"/>
    <col min="17" max="17" width="18.46484375" style="2" customWidth="1"/>
    <col min="18" max="18" width="13.46484375" style="2" customWidth="1"/>
    <col min="19" max="19" width="12" style="2" customWidth="1"/>
    <col min="20" max="16384" width="11.46484375" style="2"/>
  </cols>
  <sheetData>
    <row r="3" spans="2:20" ht="22.5" x14ac:dyDescent="0.6">
      <c r="B3" s="7" t="s">
        <v>154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</row>
    <row r="4" spans="2:20" ht="14.25" customHeight="1" x14ac:dyDescent="0.5">
      <c r="B4" s="99" t="s">
        <v>44</v>
      </c>
    </row>
    <row r="5" spans="2:20" ht="10.5" customHeight="1" x14ac:dyDescent="0.6">
      <c r="B5" s="27"/>
    </row>
    <row r="6" spans="2:20" ht="10.5" customHeight="1" x14ac:dyDescent="0.6">
      <c r="B6" s="27"/>
      <c r="J6" s="172"/>
      <c r="K6" s="172"/>
      <c r="L6" s="172"/>
    </row>
    <row r="7" spans="2:20" ht="17.649999999999999" x14ac:dyDescent="0.5">
      <c r="B7" s="605" t="s">
        <v>45</v>
      </c>
      <c r="C7" s="605"/>
      <c r="D7" s="605"/>
      <c r="E7" s="605"/>
      <c r="F7" s="605"/>
      <c r="G7" s="605"/>
      <c r="H7" s="605"/>
      <c r="I7" s="605"/>
      <c r="J7" s="605"/>
      <c r="K7" s="605"/>
      <c r="L7" s="605"/>
      <c r="M7" s="605"/>
      <c r="N7" s="605"/>
      <c r="O7" s="605"/>
    </row>
    <row r="8" spans="2:20" ht="13.15" thickBot="1" x14ac:dyDescent="0.4"/>
    <row r="9" spans="2:20" ht="15" x14ac:dyDescent="0.4">
      <c r="B9" s="610" t="s">
        <v>46</v>
      </c>
      <c r="C9" s="611"/>
      <c r="D9" s="611"/>
      <c r="E9" s="611"/>
      <c r="F9" s="611"/>
      <c r="G9" s="611"/>
      <c r="H9" s="611"/>
      <c r="I9" s="611"/>
      <c r="J9" s="611"/>
      <c r="K9" s="611"/>
      <c r="L9" s="611"/>
      <c r="M9" s="611"/>
      <c r="N9" s="611"/>
      <c r="O9" s="612"/>
      <c r="Q9" s="613" t="s">
        <v>47</v>
      </c>
      <c r="R9" s="614"/>
    </row>
    <row r="10" spans="2:20" s="23" customFormat="1" ht="13.5" thickBot="1" x14ac:dyDescent="0.45">
      <c r="B10" s="26" t="s">
        <v>49</v>
      </c>
      <c r="C10" s="25">
        <v>1</v>
      </c>
      <c r="D10" s="25">
        <v>2</v>
      </c>
      <c r="E10" s="25">
        <v>3</v>
      </c>
      <c r="F10" s="25">
        <v>4</v>
      </c>
      <c r="G10" s="25">
        <v>5</v>
      </c>
      <c r="H10" s="25">
        <v>6</v>
      </c>
      <c r="I10" s="25">
        <v>7</v>
      </c>
      <c r="J10" s="25">
        <v>8</v>
      </c>
      <c r="K10" s="25">
        <v>9</v>
      </c>
      <c r="L10" s="25">
        <v>10</v>
      </c>
      <c r="M10" s="25">
        <v>11</v>
      </c>
      <c r="N10" s="25">
        <v>12</v>
      </c>
      <c r="O10" s="24" t="s">
        <v>50</v>
      </c>
      <c r="Q10" s="608" t="s">
        <v>51</v>
      </c>
      <c r="R10" s="609"/>
    </row>
    <row r="11" spans="2:20" ht="13.15" x14ac:dyDescent="0.4">
      <c r="B11" s="64" t="str">
        <f>+'Proy Vtas'!B12</f>
        <v>Publicación y Desarrollo de Trabajo completo</v>
      </c>
      <c r="C11" s="385">
        <f>+'Proy Vtas'!C12</f>
        <v>0</v>
      </c>
      <c r="D11" s="385">
        <f>+'Proy Vtas'!D12</f>
        <v>0</v>
      </c>
      <c r="E11" s="385">
        <f>+'Proy Vtas'!E12</f>
        <v>0</v>
      </c>
      <c r="F11" s="385">
        <f>+'Proy Vtas'!F12</f>
        <v>0</v>
      </c>
      <c r="G11" s="385">
        <f>+'Proy Vtas'!G12</f>
        <v>0</v>
      </c>
      <c r="H11" s="385">
        <f>+'Proy Vtas'!H12</f>
        <v>0</v>
      </c>
      <c r="I11" s="385">
        <f>+'Proy Vtas'!I12</f>
        <v>0</v>
      </c>
      <c r="J11" s="385">
        <f>+'Proy Vtas'!J12</f>
        <v>0</v>
      </c>
      <c r="K11" s="385">
        <f>+'Proy Vtas'!K12</f>
        <v>0</v>
      </c>
      <c r="L11" s="385">
        <f>+'Proy Vtas'!L12</f>
        <v>0</v>
      </c>
      <c r="M11" s="385">
        <f>+'Proy Vtas'!M12</f>
        <v>0</v>
      </c>
      <c r="N11" s="385">
        <f>+'Proy Vtas'!N12</f>
        <v>0</v>
      </c>
      <c r="O11" s="383">
        <f>SUM(C11:N11)</f>
        <v>0</v>
      </c>
      <c r="Q11" s="22" t="s">
        <v>52</v>
      </c>
      <c r="R11" s="20" t="s">
        <v>153</v>
      </c>
      <c r="S11" s="20" t="s">
        <v>148</v>
      </c>
      <c r="T11" s="20" t="s">
        <v>141</v>
      </c>
    </row>
    <row r="12" spans="2:20" ht="13.15" x14ac:dyDescent="0.4">
      <c r="B12" s="64" t="str">
        <f>+'Proy Vtas'!B13</f>
        <v>Denuncias o solicitudes de reembolso</v>
      </c>
      <c r="C12" s="385">
        <f>+'Proy Vtas'!C13</f>
        <v>0</v>
      </c>
      <c r="D12" s="385">
        <f>+'Proy Vtas'!D13</f>
        <v>0</v>
      </c>
      <c r="E12" s="385">
        <f>+'Proy Vtas'!E13</f>
        <v>0</v>
      </c>
      <c r="F12" s="385">
        <f>+'Proy Vtas'!F13</f>
        <v>0</v>
      </c>
      <c r="G12" s="385">
        <f>+'Proy Vtas'!G13</f>
        <v>0</v>
      </c>
      <c r="H12" s="385">
        <f>+'Proy Vtas'!H13</f>
        <v>0</v>
      </c>
      <c r="I12" s="385">
        <f>+'Proy Vtas'!I13</f>
        <v>0</v>
      </c>
      <c r="J12" s="385">
        <f>+'Proy Vtas'!J13</f>
        <v>0</v>
      </c>
      <c r="K12" s="385">
        <f>+'Proy Vtas'!K13</f>
        <v>0</v>
      </c>
      <c r="L12" s="385">
        <f>+'Proy Vtas'!L13</f>
        <v>0</v>
      </c>
      <c r="M12" s="385">
        <f>+'Proy Vtas'!M13</f>
        <v>0</v>
      </c>
      <c r="N12" s="385">
        <f>+'Proy Vtas'!N13</f>
        <v>0</v>
      </c>
      <c r="O12" s="383">
        <f t="shared" ref="O12:O16" si="0">SUM(C12:N12)</f>
        <v>0</v>
      </c>
      <c r="Q12" s="19" t="str">
        <f>+'Proy Vtas'!Q13</f>
        <v>Producto1</v>
      </c>
      <c r="R12" s="149">
        <f t="shared" ref="R12:R17" si="1">+S12+T12</f>
        <v>0</v>
      </c>
      <c r="S12" s="149">
        <f>+'Costo Unitario'!E42</f>
        <v>0</v>
      </c>
      <c r="T12" s="149">
        <f>+'Costo Unitario'!E23</f>
        <v>0</v>
      </c>
    </row>
    <row r="13" spans="2:20" ht="13.15" x14ac:dyDescent="0.4">
      <c r="B13" s="64" t="str">
        <f>+'Proy Vtas'!B14</f>
        <v>Ventas de examenes resueltos</v>
      </c>
      <c r="C13" s="385">
        <f>+'Proy Vtas'!C14</f>
        <v>0</v>
      </c>
      <c r="D13" s="385">
        <f>+'Proy Vtas'!D14</f>
        <v>0</v>
      </c>
      <c r="E13" s="385">
        <f>+'Proy Vtas'!E14</f>
        <v>0</v>
      </c>
      <c r="F13" s="385">
        <f>+'Proy Vtas'!F14</f>
        <v>0</v>
      </c>
      <c r="G13" s="385">
        <f>+'Proy Vtas'!G14</f>
        <v>0</v>
      </c>
      <c r="H13" s="385">
        <f>+'Proy Vtas'!H14</f>
        <v>0</v>
      </c>
      <c r="I13" s="385">
        <f>+'Proy Vtas'!I14</f>
        <v>0</v>
      </c>
      <c r="J13" s="385">
        <f>+'Proy Vtas'!J14</f>
        <v>0</v>
      </c>
      <c r="K13" s="385">
        <f>+'Proy Vtas'!K14</f>
        <v>0</v>
      </c>
      <c r="L13" s="385">
        <f>+'Proy Vtas'!L14</f>
        <v>0</v>
      </c>
      <c r="M13" s="385">
        <f>+'Proy Vtas'!M14</f>
        <v>0</v>
      </c>
      <c r="N13" s="385">
        <f>+'Proy Vtas'!N14</f>
        <v>0</v>
      </c>
      <c r="O13" s="383">
        <f t="shared" si="0"/>
        <v>0</v>
      </c>
      <c r="Q13" s="19" t="str">
        <f>+'Proy Vtas'!Q14</f>
        <v>Producto2</v>
      </c>
      <c r="R13" s="149">
        <f t="shared" si="1"/>
        <v>0</v>
      </c>
      <c r="S13" s="149">
        <f>+'Costo Unitario'!L42</f>
        <v>0</v>
      </c>
      <c r="T13" s="149">
        <f>+'Costo Unitario'!L23</f>
        <v>0</v>
      </c>
    </row>
    <row r="14" spans="2:20" ht="13.15" x14ac:dyDescent="0.4">
      <c r="B14" s="64">
        <f>+'Proy Vtas'!B15</f>
        <v>0</v>
      </c>
      <c r="C14" s="385">
        <f>+'Proy Vtas'!C15</f>
        <v>0</v>
      </c>
      <c r="D14" s="385">
        <f>+'Proy Vtas'!D15</f>
        <v>0</v>
      </c>
      <c r="E14" s="385">
        <f>+'Proy Vtas'!E15</f>
        <v>0</v>
      </c>
      <c r="F14" s="385">
        <f>+'Proy Vtas'!F15</f>
        <v>0</v>
      </c>
      <c r="G14" s="385">
        <f>+'Proy Vtas'!G15</f>
        <v>0</v>
      </c>
      <c r="H14" s="385">
        <f>+'Proy Vtas'!H15</f>
        <v>0</v>
      </c>
      <c r="I14" s="385">
        <f>+'Proy Vtas'!I15</f>
        <v>0</v>
      </c>
      <c r="J14" s="385">
        <f>+'Proy Vtas'!J15</f>
        <v>0</v>
      </c>
      <c r="K14" s="385">
        <f>+'Proy Vtas'!K15</f>
        <v>0</v>
      </c>
      <c r="L14" s="385">
        <f>+'Proy Vtas'!L15</f>
        <v>0</v>
      </c>
      <c r="M14" s="385">
        <f>+'Proy Vtas'!M15</f>
        <v>0</v>
      </c>
      <c r="N14" s="385">
        <f>+'Proy Vtas'!N15</f>
        <v>0</v>
      </c>
      <c r="O14" s="383">
        <f t="shared" si="0"/>
        <v>0</v>
      </c>
      <c r="Q14" s="19" t="str">
        <f>+'Proy Vtas'!Q15</f>
        <v>Producto3</v>
      </c>
      <c r="R14" s="149">
        <f t="shared" si="1"/>
        <v>3.2</v>
      </c>
      <c r="S14" s="149">
        <f>+'Costo Unitario'!E44</f>
        <v>0</v>
      </c>
      <c r="T14" s="149">
        <f>+'Costo Unitario'!S23</f>
        <v>3.2</v>
      </c>
    </row>
    <row r="15" spans="2:20" ht="13.15" x14ac:dyDescent="0.4">
      <c r="B15" s="64">
        <f>+'Proy Vtas'!B16</f>
        <v>0</v>
      </c>
      <c r="C15" s="385">
        <f>+'Proy Vtas'!C16</f>
        <v>0</v>
      </c>
      <c r="D15" s="385">
        <f>+'Proy Vtas'!D16</f>
        <v>0</v>
      </c>
      <c r="E15" s="385">
        <f>+'Proy Vtas'!E16</f>
        <v>0</v>
      </c>
      <c r="F15" s="385">
        <f>+'Proy Vtas'!F16</f>
        <v>0</v>
      </c>
      <c r="G15" s="385">
        <f>+'Proy Vtas'!G16</f>
        <v>0</v>
      </c>
      <c r="H15" s="385">
        <f>+'Proy Vtas'!H16</f>
        <v>0</v>
      </c>
      <c r="I15" s="385">
        <f>+'Proy Vtas'!I16</f>
        <v>0</v>
      </c>
      <c r="J15" s="385">
        <f>+'Proy Vtas'!J16</f>
        <v>0</v>
      </c>
      <c r="K15" s="385">
        <f>+'Proy Vtas'!K16</f>
        <v>0</v>
      </c>
      <c r="L15" s="385">
        <f>+'Proy Vtas'!L16</f>
        <v>0</v>
      </c>
      <c r="M15" s="385">
        <f>+'Proy Vtas'!M16</f>
        <v>0</v>
      </c>
      <c r="N15" s="385">
        <f>+'Proy Vtas'!N16</f>
        <v>0</v>
      </c>
      <c r="O15" s="383">
        <f t="shared" si="0"/>
        <v>0</v>
      </c>
      <c r="Q15" s="19">
        <f>+'Proy Vtas'!Q16</f>
        <v>0</v>
      </c>
      <c r="R15" s="149">
        <f t="shared" si="1"/>
        <v>0</v>
      </c>
      <c r="S15" s="149">
        <f>+'Costo Unitario'!Z42</f>
        <v>0</v>
      </c>
      <c r="T15" s="149">
        <f>+'Costo Unitario'!Z23</f>
        <v>0</v>
      </c>
    </row>
    <row r="16" spans="2:20" ht="13.15" x14ac:dyDescent="0.4">
      <c r="B16" s="64">
        <f>+'Proy Vtas'!B17</f>
        <v>0</v>
      </c>
      <c r="C16" s="385">
        <f>+'Proy Vtas'!C17</f>
        <v>0</v>
      </c>
      <c r="D16" s="385">
        <f>+'Proy Vtas'!D17</f>
        <v>0</v>
      </c>
      <c r="E16" s="385">
        <f>+'Proy Vtas'!E17</f>
        <v>0</v>
      </c>
      <c r="F16" s="385">
        <f>+'Proy Vtas'!F17</f>
        <v>0</v>
      </c>
      <c r="G16" s="385">
        <f>+'Proy Vtas'!G17</f>
        <v>0</v>
      </c>
      <c r="H16" s="385">
        <f>+'Proy Vtas'!H17</f>
        <v>0</v>
      </c>
      <c r="I16" s="385">
        <f>+'Proy Vtas'!I17</f>
        <v>0</v>
      </c>
      <c r="J16" s="385">
        <f>+'Proy Vtas'!J17</f>
        <v>0</v>
      </c>
      <c r="K16" s="385">
        <f>+'Proy Vtas'!K17</f>
        <v>0</v>
      </c>
      <c r="L16" s="385">
        <f>+'Proy Vtas'!L17</f>
        <v>0</v>
      </c>
      <c r="M16" s="385">
        <f>+'Proy Vtas'!M17</f>
        <v>0</v>
      </c>
      <c r="N16" s="385">
        <f>+'Proy Vtas'!N17</f>
        <v>0</v>
      </c>
      <c r="O16" s="383">
        <f t="shared" si="0"/>
        <v>0</v>
      </c>
      <c r="Q16" s="19">
        <f>+'Proy Vtas'!Q17</f>
        <v>0</v>
      </c>
      <c r="R16" s="149">
        <f t="shared" si="1"/>
        <v>0</v>
      </c>
      <c r="S16" s="149">
        <f>+'Costo Unitario'!AG42</f>
        <v>0</v>
      </c>
      <c r="T16" s="149">
        <f>+'Costo Unitario'!AG23</f>
        <v>0</v>
      </c>
    </row>
    <row r="17" spans="2:20" ht="13.15" x14ac:dyDescent="0.4">
      <c r="B17" s="396" t="str">
        <f>+'Proy Vtas'!B18</f>
        <v>Total</v>
      </c>
      <c r="C17" s="423">
        <f>SUM(C11:C16)</f>
        <v>0</v>
      </c>
      <c r="D17" s="423">
        <f t="shared" ref="D17:N17" si="2">SUM(D11:D16)</f>
        <v>0</v>
      </c>
      <c r="E17" s="423">
        <f t="shared" si="2"/>
        <v>0</v>
      </c>
      <c r="F17" s="423">
        <f t="shared" si="2"/>
        <v>0</v>
      </c>
      <c r="G17" s="423">
        <f t="shared" si="2"/>
        <v>0</v>
      </c>
      <c r="H17" s="423">
        <f t="shared" si="2"/>
        <v>0</v>
      </c>
      <c r="I17" s="423">
        <f t="shared" si="2"/>
        <v>0</v>
      </c>
      <c r="J17" s="423">
        <f t="shared" si="2"/>
        <v>0</v>
      </c>
      <c r="K17" s="423">
        <f t="shared" si="2"/>
        <v>0</v>
      </c>
      <c r="L17" s="423">
        <f t="shared" si="2"/>
        <v>0</v>
      </c>
      <c r="M17" s="423">
        <f t="shared" si="2"/>
        <v>0</v>
      </c>
      <c r="N17" s="423">
        <f t="shared" si="2"/>
        <v>0</v>
      </c>
      <c r="O17" s="406">
        <f>SUM(O11:O16)</f>
        <v>0</v>
      </c>
      <c r="Q17" s="19">
        <f>+'Proy Vtas'!Q18</f>
        <v>0</v>
      </c>
      <c r="R17" s="149">
        <f t="shared" si="1"/>
        <v>0</v>
      </c>
      <c r="S17" s="149">
        <f>+'Costo Unitario'!AN42</f>
        <v>0</v>
      </c>
      <c r="T17" s="149">
        <f>+'Costo Unitario'!AN23</f>
        <v>0</v>
      </c>
    </row>
    <row r="18" spans="2:20" x14ac:dyDescent="0.35">
      <c r="Q18" s="19"/>
      <c r="R18" s="384">
        <f>SUM(R12:R17)</f>
        <v>3.2</v>
      </c>
      <c r="S18" s="384">
        <f>SUM(S12:S17)</f>
        <v>0</v>
      </c>
      <c r="T18" s="384">
        <f>SUM(T12:T17)</f>
        <v>3.2</v>
      </c>
    </row>
    <row r="19" spans="2:20" ht="13.5" thickBot="1" x14ac:dyDescent="0.45">
      <c r="B19" s="670" t="s">
        <v>155</v>
      </c>
      <c r="C19" s="671"/>
      <c r="D19" s="671"/>
      <c r="E19" s="671"/>
      <c r="F19" s="671"/>
      <c r="G19" s="671"/>
      <c r="H19" s="671"/>
      <c r="I19" s="671"/>
      <c r="J19" s="671"/>
      <c r="K19" s="671"/>
      <c r="L19" s="671"/>
      <c r="M19" s="671"/>
      <c r="N19" s="671"/>
      <c r="O19" s="672"/>
    </row>
    <row r="20" spans="2:20" ht="13.15" x14ac:dyDescent="0.4">
      <c r="B20" s="22" t="s">
        <v>52</v>
      </c>
      <c r="C20" s="21">
        <v>1</v>
      </c>
      <c r="D20" s="21">
        <v>2</v>
      </c>
      <c r="E20" s="21">
        <v>3</v>
      </c>
      <c r="F20" s="21">
        <v>4</v>
      </c>
      <c r="G20" s="21">
        <v>5</v>
      </c>
      <c r="H20" s="21">
        <v>6</v>
      </c>
      <c r="I20" s="21">
        <v>7</v>
      </c>
      <c r="J20" s="21">
        <v>8</v>
      </c>
      <c r="K20" s="21">
        <v>9</v>
      </c>
      <c r="L20" s="21">
        <v>10</v>
      </c>
      <c r="M20" s="21">
        <v>11</v>
      </c>
      <c r="N20" s="21">
        <v>12</v>
      </c>
      <c r="O20" s="20" t="s">
        <v>50</v>
      </c>
      <c r="Q20" s="2" t="s">
        <v>60</v>
      </c>
    </row>
    <row r="21" spans="2:20" x14ac:dyDescent="0.35">
      <c r="B21" s="185" t="s">
        <v>156</v>
      </c>
      <c r="C21" s="186"/>
      <c r="D21" s="186"/>
      <c r="E21" s="186"/>
      <c r="F21" s="186"/>
      <c r="G21" s="186"/>
      <c r="H21" s="186"/>
      <c r="I21" s="186"/>
      <c r="J21" s="186"/>
      <c r="K21" s="186"/>
      <c r="L21" s="186"/>
      <c r="M21" s="186"/>
      <c r="N21" s="186"/>
      <c r="O21" s="186"/>
    </row>
    <row r="22" spans="2:20" x14ac:dyDescent="0.35">
      <c r="B22" s="185" t="s">
        <v>157</v>
      </c>
      <c r="C22" s="186">
        <f>+Costos!$G$30</f>
        <v>2890.833333333333</v>
      </c>
      <c r="D22" s="186">
        <f>+Costos!$G$30</f>
        <v>2890.833333333333</v>
      </c>
      <c r="E22" s="186">
        <f>+Costos!$G$30</f>
        <v>2890.833333333333</v>
      </c>
      <c r="F22" s="186">
        <f>+Costos!$G$30</f>
        <v>2890.833333333333</v>
      </c>
      <c r="G22" s="186">
        <f>+Costos!$G$30</f>
        <v>2890.833333333333</v>
      </c>
      <c r="H22" s="186">
        <f>+Costos!$G$30</f>
        <v>2890.833333333333</v>
      </c>
      <c r="I22" s="186">
        <f>+Costos!$G$30</f>
        <v>2890.833333333333</v>
      </c>
      <c r="J22" s="186">
        <f>+Costos!$G$30</f>
        <v>2890.833333333333</v>
      </c>
      <c r="K22" s="186">
        <f>+Costos!$G$30</f>
        <v>2890.833333333333</v>
      </c>
      <c r="L22" s="186">
        <f>+Costos!$G$30</f>
        <v>2890.833333333333</v>
      </c>
      <c r="M22" s="186">
        <f>+Costos!$G$30</f>
        <v>2890.833333333333</v>
      </c>
      <c r="N22" s="186">
        <f>+Costos!$G$30</f>
        <v>2890.833333333333</v>
      </c>
      <c r="O22" s="186">
        <f>SUM(C22:N22)</f>
        <v>34689.999999999993</v>
      </c>
    </row>
    <row r="23" spans="2:20" x14ac:dyDescent="0.35">
      <c r="B23" s="185" t="s">
        <v>158</v>
      </c>
      <c r="C23" s="186">
        <f>+C11*$T12+C12*$T13+C13*$T14+C14*$T15+C15*$T16+C16*$T17</f>
        <v>0</v>
      </c>
      <c r="D23" s="186">
        <f t="shared" ref="D23:N23" si="3">+D11*$T12+D12*$T13+D13*$T14+D14*$T15+D15*$T16+D16*$T17</f>
        <v>0</v>
      </c>
      <c r="E23" s="186">
        <f t="shared" si="3"/>
        <v>0</v>
      </c>
      <c r="F23" s="186">
        <f t="shared" si="3"/>
        <v>0</v>
      </c>
      <c r="G23" s="186">
        <f t="shared" si="3"/>
        <v>0</v>
      </c>
      <c r="H23" s="186">
        <f t="shared" si="3"/>
        <v>0</v>
      </c>
      <c r="I23" s="186">
        <f t="shared" si="3"/>
        <v>0</v>
      </c>
      <c r="J23" s="186">
        <f t="shared" si="3"/>
        <v>0</v>
      </c>
      <c r="K23" s="186">
        <f t="shared" si="3"/>
        <v>0</v>
      </c>
      <c r="L23" s="186">
        <f t="shared" si="3"/>
        <v>0</v>
      </c>
      <c r="M23" s="186">
        <f t="shared" si="3"/>
        <v>0</v>
      </c>
      <c r="N23" s="186">
        <f t="shared" si="3"/>
        <v>0</v>
      </c>
      <c r="O23" s="186">
        <f>SUM(C23:N23)</f>
        <v>0</v>
      </c>
    </row>
    <row r="24" spans="2:20" ht="13.15" x14ac:dyDescent="0.4">
      <c r="B24" s="187" t="s">
        <v>63</v>
      </c>
      <c r="C24" s="188">
        <f>SUM(C22:C23)</f>
        <v>2890.833333333333</v>
      </c>
      <c r="D24" s="188">
        <f t="shared" ref="D24:N24" si="4">SUM(D22:D23)</f>
        <v>2890.833333333333</v>
      </c>
      <c r="E24" s="188">
        <f t="shared" si="4"/>
        <v>2890.833333333333</v>
      </c>
      <c r="F24" s="188">
        <f t="shared" si="4"/>
        <v>2890.833333333333</v>
      </c>
      <c r="G24" s="188">
        <f t="shared" si="4"/>
        <v>2890.833333333333</v>
      </c>
      <c r="H24" s="188">
        <f t="shared" si="4"/>
        <v>2890.833333333333</v>
      </c>
      <c r="I24" s="188">
        <f t="shared" si="4"/>
        <v>2890.833333333333</v>
      </c>
      <c r="J24" s="188">
        <f t="shared" si="4"/>
        <v>2890.833333333333</v>
      </c>
      <c r="K24" s="188">
        <f t="shared" si="4"/>
        <v>2890.833333333333</v>
      </c>
      <c r="L24" s="188">
        <f t="shared" si="4"/>
        <v>2890.833333333333</v>
      </c>
      <c r="M24" s="188">
        <f t="shared" si="4"/>
        <v>2890.833333333333</v>
      </c>
      <c r="N24" s="188">
        <f t="shared" si="4"/>
        <v>2890.833333333333</v>
      </c>
      <c r="O24" s="188">
        <f>SUM(O22:O23)</f>
        <v>34689.999999999993</v>
      </c>
    </row>
    <row r="26" spans="2:20" ht="17.649999999999999" x14ac:dyDescent="0.5">
      <c r="B26" s="605" t="s">
        <v>65</v>
      </c>
      <c r="C26" s="605"/>
      <c r="D26" s="605"/>
      <c r="E26" s="605"/>
      <c r="F26" s="605"/>
      <c r="G26" s="605"/>
      <c r="H26" s="605"/>
      <c r="I26" s="605"/>
      <c r="J26" s="605"/>
      <c r="K26" s="605"/>
      <c r="L26" s="605"/>
      <c r="M26" s="605"/>
      <c r="N26" s="605"/>
      <c r="O26" s="605"/>
    </row>
    <row r="27" spans="2:20" ht="13.15" thickBot="1" x14ac:dyDescent="0.4"/>
    <row r="28" spans="2:20" ht="15" x14ac:dyDescent="0.4">
      <c r="B28" s="610" t="s">
        <v>46</v>
      </c>
      <c r="C28" s="611"/>
      <c r="D28" s="611"/>
      <c r="E28" s="611"/>
      <c r="F28" s="611"/>
      <c r="G28" s="611"/>
      <c r="H28" s="611"/>
      <c r="I28" s="611"/>
      <c r="J28" s="611"/>
      <c r="K28" s="611"/>
      <c r="L28" s="611"/>
      <c r="M28" s="611"/>
      <c r="N28" s="611"/>
      <c r="O28" s="612"/>
      <c r="Q28" s="613" t="s">
        <v>47</v>
      </c>
      <c r="R28" s="614"/>
    </row>
    <row r="29" spans="2:20" ht="13.5" thickBot="1" x14ac:dyDescent="0.45">
      <c r="B29" s="26" t="s">
        <v>52</v>
      </c>
      <c r="C29" s="25">
        <v>1</v>
      </c>
      <c r="D29" s="25">
        <v>2</v>
      </c>
      <c r="E29" s="25">
        <v>3</v>
      </c>
      <c r="F29" s="25">
        <v>4</v>
      </c>
      <c r="G29" s="25">
        <v>5</v>
      </c>
      <c r="H29" s="25">
        <v>6</v>
      </c>
      <c r="I29" s="25">
        <v>7</v>
      </c>
      <c r="J29" s="25">
        <v>8</v>
      </c>
      <c r="K29" s="25">
        <v>9</v>
      </c>
      <c r="L29" s="25">
        <v>10</v>
      </c>
      <c r="M29" s="25">
        <v>11</v>
      </c>
      <c r="N29" s="25">
        <v>12</v>
      </c>
      <c r="O29" s="24" t="s">
        <v>50</v>
      </c>
      <c r="P29" s="23"/>
      <c r="Q29" s="608" t="s">
        <v>51</v>
      </c>
      <c r="R29" s="609"/>
    </row>
    <row r="30" spans="2:20" ht="13.15" x14ac:dyDescent="0.4">
      <c r="B30" s="64" t="str">
        <f t="shared" ref="B30:B35" si="5">+B11</f>
        <v>Publicación y Desarrollo de Trabajo completo</v>
      </c>
      <c r="C30" s="385">
        <f>+'Proy Vtas'!C34</f>
        <v>0</v>
      </c>
      <c r="D30" s="385">
        <f>+'Proy Vtas'!D34</f>
        <v>0</v>
      </c>
      <c r="E30" s="385">
        <f>+'Proy Vtas'!E34</f>
        <v>0</v>
      </c>
      <c r="F30" s="385">
        <f>+'Proy Vtas'!F34</f>
        <v>0</v>
      </c>
      <c r="G30" s="385">
        <f>+'Proy Vtas'!G34</f>
        <v>0</v>
      </c>
      <c r="H30" s="385">
        <f>+'Proy Vtas'!H34</f>
        <v>0</v>
      </c>
      <c r="I30" s="385">
        <f>+'Proy Vtas'!I34</f>
        <v>0</v>
      </c>
      <c r="J30" s="385">
        <f>+'Proy Vtas'!J34</f>
        <v>0</v>
      </c>
      <c r="K30" s="385">
        <f>+'Proy Vtas'!K34</f>
        <v>0</v>
      </c>
      <c r="L30" s="385">
        <f>+'Proy Vtas'!L34</f>
        <v>0</v>
      </c>
      <c r="M30" s="385">
        <f>+'Proy Vtas'!M34</f>
        <v>0</v>
      </c>
      <c r="N30" s="385">
        <f>+'Proy Vtas'!N34</f>
        <v>0</v>
      </c>
      <c r="O30" s="369">
        <f>SUM(C30:N30)</f>
        <v>0</v>
      </c>
      <c r="Q30" s="22" t="s">
        <v>52</v>
      </c>
      <c r="R30" s="20" t="s">
        <v>153</v>
      </c>
      <c r="S30" s="20" t="s">
        <v>148</v>
      </c>
      <c r="T30" s="20" t="s">
        <v>141</v>
      </c>
    </row>
    <row r="31" spans="2:20" ht="13.15" x14ac:dyDescent="0.4">
      <c r="B31" s="64" t="str">
        <f t="shared" si="5"/>
        <v>Denuncias o solicitudes de reembolso</v>
      </c>
      <c r="C31" s="385">
        <f>+'Proy Vtas'!C35</f>
        <v>0</v>
      </c>
      <c r="D31" s="385">
        <f>+'Proy Vtas'!D35</f>
        <v>0</v>
      </c>
      <c r="E31" s="385">
        <f>+'Proy Vtas'!E35</f>
        <v>0</v>
      </c>
      <c r="F31" s="385">
        <f>+'Proy Vtas'!F35</f>
        <v>0</v>
      </c>
      <c r="G31" s="385">
        <f>+'Proy Vtas'!G35</f>
        <v>0</v>
      </c>
      <c r="H31" s="385">
        <f>+'Proy Vtas'!H35</f>
        <v>0</v>
      </c>
      <c r="I31" s="385">
        <f>+'Proy Vtas'!I35</f>
        <v>0</v>
      </c>
      <c r="J31" s="385">
        <f>+'Proy Vtas'!J35</f>
        <v>0</v>
      </c>
      <c r="K31" s="385">
        <f>+'Proy Vtas'!K35</f>
        <v>0</v>
      </c>
      <c r="L31" s="385">
        <f>+'Proy Vtas'!L35</f>
        <v>0</v>
      </c>
      <c r="M31" s="385">
        <f>+'Proy Vtas'!M35</f>
        <v>0</v>
      </c>
      <c r="N31" s="385">
        <f>+'Proy Vtas'!N35</f>
        <v>0</v>
      </c>
      <c r="O31" s="369">
        <f t="shared" ref="O31:O35" si="6">SUM(C31:N31)</f>
        <v>0</v>
      </c>
      <c r="Q31" s="19" t="str">
        <f t="shared" ref="Q31:Q36" si="7">+Q12</f>
        <v>Producto1</v>
      </c>
      <c r="R31" s="149">
        <f t="shared" ref="R31:R36" si="8">+S31+T31</f>
        <v>0</v>
      </c>
      <c r="S31" s="149">
        <f t="shared" ref="S31:T36" si="9">+S12</f>
        <v>0</v>
      </c>
      <c r="T31" s="149">
        <f t="shared" si="9"/>
        <v>0</v>
      </c>
    </row>
    <row r="32" spans="2:20" ht="13.15" x14ac:dyDescent="0.4">
      <c r="B32" s="64" t="str">
        <f t="shared" si="5"/>
        <v>Ventas de examenes resueltos</v>
      </c>
      <c r="C32" s="385">
        <f>+'Proy Vtas'!C36</f>
        <v>0</v>
      </c>
      <c r="D32" s="385">
        <f>+'Proy Vtas'!D36</f>
        <v>0</v>
      </c>
      <c r="E32" s="385">
        <f>+'Proy Vtas'!E36</f>
        <v>0</v>
      </c>
      <c r="F32" s="385">
        <f>+'Proy Vtas'!F36</f>
        <v>0</v>
      </c>
      <c r="G32" s="385">
        <f>+'Proy Vtas'!G36</f>
        <v>0</v>
      </c>
      <c r="H32" s="385">
        <f>+'Proy Vtas'!H36</f>
        <v>0</v>
      </c>
      <c r="I32" s="385">
        <f>+'Proy Vtas'!I36</f>
        <v>0</v>
      </c>
      <c r="J32" s="385">
        <f>+'Proy Vtas'!J36</f>
        <v>0</v>
      </c>
      <c r="K32" s="385">
        <f>+'Proy Vtas'!K36</f>
        <v>0</v>
      </c>
      <c r="L32" s="385">
        <f>+'Proy Vtas'!L36</f>
        <v>0</v>
      </c>
      <c r="M32" s="385">
        <f>+'Proy Vtas'!M36</f>
        <v>0</v>
      </c>
      <c r="N32" s="385">
        <f>+'Proy Vtas'!N36</f>
        <v>0</v>
      </c>
      <c r="O32" s="369">
        <f t="shared" si="6"/>
        <v>0</v>
      </c>
      <c r="Q32" s="19" t="str">
        <f t="shared" si="7"/>
        <v>Producto2</v>
      </c>
      <c r="R32" s="149">
        <f t="shared" si="8"/>
        <v>0</v>
      </c>
      <c r="S32" s="149">
        <f t="shared" si="9"/>
        <v>0</v>
      </c>
      <c r="T32" s="149">
        <f t="shared" si="9"/>
        <v>0</v>
      </c>
    </row>
    <row r="33" spans="2:20" ht="13.15" x14ac:dyDescent="0.4">
      <c r="B33" s="64">
        <f t="shared" si="5"/>
        <v>0</v>
      </c>
      <c r="C33" s="385">
        <f>+'Proy Vtas'!C37</f>
        <v>0</v>
      </c>
      <c r="D33" s="385">
        <f>+'Proy Vtas'!D37</f>
        <v>0</v>
      </c>
      <c r="E33" s="385">
        <f>+'Proy Vtas'!E37</f>
        <v>0</v>
      </c>
      <c r="F33" s="385">
        <f>+'Proy Vtas'!F37</f>
        <v>0</v>
      </c>
      <c r="G33" s="385">
        <f>+'Proy Vtas'!G37</f>
        <v>0</v>
      </c>
      <c r="H33" s="385">
        <f>+'Proy Vtas'!H37</f>
        <v>0</v>
      </c>
      <c r="I33" s="385">
        <f>+'Proy Vtas'!I37</f>
        <v>0</v>
      </c>
      <c r="J33" s="385">
        <f>+'Proy Vtas'!J37</f>
        <v>0</v>
      </c>
      <c r="K33" s="385">
        <f>+'Proy Vtas'!K37</f>
        <v>0</v>
      </c>
      <c r="L33" s="385">
        <f>+'Proy Vtas'!L37</f>
        <v>0</v>
      </c>
      <c r="M33" s="385">
        <f>+'Proy Vtas'!M37</f>
        <v>0</v>
      </c>
      <c r="N33" s="385">
        <f>+'Proy Vtas'!N37</f>
        <v>0</v>
      </c>
      <c r="O33" s="369">
        <f t="shared" si="6"/>
        <v>0</v>
      </c>
      <c r="Q33" s="19" t="str">
        <f t="shared" si="7"/>
        <v>Producto3</v>
      </c>
      <c r="R33" s="149">
        <f t="shared" si="8"/>
        <v>3.2</v>
      </c>
      <c r="S33" s="149">
        <f t="shared" si="9"/>
        <v>0</v>
      </c>
      <c r="T33" s="149">
        <f t="shared" si="9"/>
        <v>3.2</v>
      </c>
    </row>
    <row r="34" spans="2:20" ht="13.15" x14ac:dyDescent="0.4">
      <c r="B34" s="64">
        <f t="shared" si="5"/>
        <v>0</v>
      </c>
      <c r="C34" s="385">
        <f>+'Proy Vtas'!C38</f>
        <v>0</v>
      </c>
      <c r="D34" s="385">
        <f>+'Proy Vtas'!D38</f>
        <v>0</v>
      </c>
      <c r="E34" s="385">
        <f>+'Proy Vtas'!E38</f>
        <v>0</v>
      </c>
      <c r="F34" s="385">
        <f>+'Proy Vtas'!F38</f>
        <v>0</v>
      </c>
      <c r="G34" s="385">
        <f>+'Proy Vtas'!G38</f>
        <v>0</v>
      </c>
      <c r="H34" s="385">
        <f>+'Proy Vtas'!H38</f>
        <v>0</v>
      </c>
      <c r="I34" s="385">
        <f>+'Proy Vtas'!I38</f>
        <v>0</v>
      </c>
      <c r="J34" s="385">
        <f>+'Proy Vtas'!J38</f>
        <v>0</v>
      </c>
      <c r="K34" s="385">
        <f>+'Proy Vtas'!K38</f>
        <v>0</v>
      </c>
      <c r="L34" s="385">
        <f>+'Proy Vtas'!L38</f>
        <v>0</v>
      </c>
      <c r="M34" s="385">
        <f>+'Proy Vtas'!M38</f>
        <v>0</v>
      </c>
      <c r="N34" s="385">
        <f>+'Proy Vtas'!N38</f>
        <v>0</v>
      </c>
      <c r="O34" s="369">
        <f t="shared" si="6"/>
        <v>0</v>
      </c>
      <c r="Q34" s="19">
        <f t="shared" si="7"/>
        <v>0</v>
      </c>
      <c r="R34" s="149">
        <f t="shared" si="8"/>
        <v>0</v>
      </c>
      <c r="S34" s="149">
        <f t="shared" si="9"/>
        <v>0</v>
      </c>
      <c r="T34" s="149">
        <f t="shared" si="9"/>
        <v>0</v>
      </c>
    </row>
    <row r="35" spans="2:20" ht="13.15" x14ac:dyDescent="0.4">
      <c r="B35" s="64">
        <f t="shared" si="5"/>
        <v>0</v>
      </c>
      <c r="C35" s="385">
        <f>+'Proy Vtas'!C39</f>
        <v>0</v>
      </c>
      <c r="D35" s="385">
        <f>+'Proy Vtas'!D39</f>
        <v>0</v>
      </c>
      <c r="E35" s="385">
        <f>+'Proy Vtas'!E39</f>
        <v>0</v>
      </c>
      <c r="F35" s="385">
        <f>+'Proy Vtas'!F39</f>
        <v>0</v>
      </c>
      <c r="G35" s="385">
        <f>+'Proy Vtas'!G39</f>
        <v>0</v>
      </c>
      <c r="H35" s="385">
        <f>+'Proy Vtas'!H39</f>
        <v>0</v>
      </c>
      <c r="I35" s="385">
        <f>+'Proy Vtas'!I39</f>
        <v>0</v>
      </c>
      <c r="J35" s="385">
        <f>+'Proy Vtas'!J39</f>
        <v>0</v>
      </c>
      <c r="K35" s="385">
        <f>+'Proy Vtas'!K39</f>
        <v>0</v>
      </c>
      <c r="L35" s="385">
        <f>+'Proy Vtas'!L39</f>
        <v>0</v>
      </c>
      <c r="M35" s="385">
        <f>+'Proy Vtas'!M39</f>
        <v>0</v>
      </c>
      <c r="N35" s="385">
        <f>+'Proy Vtas'!N39</f>
        <v>0</v>
      </c>
      <c r="O35" s="369">
        <f t="shared" si="6"/>
        <v>0</v>
      </c>
      <c r="Q35" s="19">
        <f t="shared" si="7"/>
        <v>0</v>
      </c>
      <c r="R35" s="149">
        <f t="shared" si="8"/>
        <v>0</v>
      </c>
      <c r="S35" s="149">
        <f t="shared" si="9"/>
        <v>0</v>
      </c>
      <c r="T35" s="149">
        <f t="shared" si="9"/>
        <v>0</v>
      </c>
    </row>
    <row r="36" spans="2:20" ht="13.15" x14ac:dyDescent="0.4">
      <c r="B36" s="396" t="s">
        <v>50</v>
      </c>
      <c r="C36" s="404">
        <f>SUM(C30:C35)</f>
        <v>0</v>
      </c>
      <c r="D36" s="404">
        <f t="shared" ref="D36:N36" si="10">SUM(D30:D35)</f>
        <v>0</v>
      </c>
      <c r="E36" s="404">
        <f t="shared" si="10"/>
        <v>0</v>
      </c>
      <c r="F36" s="404">
        <f t="shared" si="10"/>
        <v>0</v>
      </c>
      <c r="G36" s="404">
        <f t="shared" si="10"/>
        <v>0</v>
      </c>
      <c r="H36" s="404">
        <f t="shared" si="10"/>
        <v>0</v>
      </c>
      <c r="I36" s="404">
        <f t="shared" si="10"/>
        <v>0</v>
      </c>
      <c r="J36" s="404">
        <f t="shared" si="10"/>
        <v>0</v>
      </c>
      <c r="K36" s="404">
        <f t="shared" si="10"/>
        <v>0</v>
      </c>
      <c r="L36" s="404">
        <f t="shared" si="10"/>
        <v>0</v>
      </c>
      <c r="M36" s="404">
        <f t="shared" si="10"/>
        <v>0</v>
      </c>
      <c r="N36" s="404">
        <f t="shared" si="10"/>
        <v>0</v>
      </c>
      <c r="O36" s="369">
        <f>SUM(C36:N36)</f>
        <v>0</v>
      </c>
      <c r="Q36" s="19">
        <f t="shared" si="7"/>
        <v>0</v>
      </c>
      <c r="R36" s="149">
        <f t="shared" si="8"/>
        <v>0</v>
      </c>
      <c r="S36" s="149">
        <f t="shared" si="9"/>
        <v>0</v>
      </c>
      <c r="T36" s="149">
        <f t="shared" si="9"/>
        <v>0</v>
      </c>
    </row>
    <row r="37" spans="2:20" ht="14.25" x14ac:dyDescent="0.4">
      <c r="O37" s="382"/>
      <c r="Q37" s="19"/>
      <c r="R37" s="425"/>
      <c r="S37" s="425"/>
      <c r="T37" s="425"/>
    </row>
    <row r="38" spans="2:20" ht="14.25" x14ac:dyDescent="0.35">
      <c r="O38" s="382"/>
      <c r="Q38" s="19"/>
      <c r="R38" s="384">
        <f>SUM(R31:R36)</f>
        <v>3.2</v>
      </c>
      <c r="S38" s="384">
        <f>SUM(S31:S36)</f>
        <v>0</v>
      </c>
      <c r="T38" s="384">
        <f>SUM(T31:T36)</f>
        <v>3.2</v>
      </c>
    </row>
    <row r="39" spans="2:20" ht="13.5" thickBot="1" x14ac:dyDescent="0.45">
      <c r="B39" s="670" t="s">
        <v>155</v>
      </c>
      <c r="C39" s="671"/>
      <c r="D39" s="671"/>
      <c r="E39" s="671"/>
      <c r="F39" s="671"/>
      <c r="G39" s="671"/>
      <c r="H39" s="671"/>
      <c r="I39" s="671"/>
      <c r="J39" s="671"/>
      <c r="K39" s="671"/>
      <c r="L39" s="671"/>
      <c r="M39" s="671"/>
      <c r="N39" s="671"/>
      <c r="O39" s="672"/>
    </row>
    <row r="40" spans="2:20" ht="13.15" x14ac:dyDescent="0.4">
      <c r="B40" s="22" t="s">
        <v>52</v>
      </c>
      <c r="C40" s="21">
        <v>1</v>
      </c>
      <c r="D40" s="21">
        <v>2</v>
      </c>
      <c r="E40" s="21">
        <v>3</v>
      </c>
      <c r="F40" s="21">
        <v>4</v>
      </c>
      <c r="G40" s="21">
        <v>5</v>
      </c>
      <c r="H40" s="21">
        <v>6</v>
      </c>
      <c r="I40" s="21">
        <v>7</v>
      </c>
      <c r="J40" s="21">
        <v>8</v>
      </c>
      <c r="K40" s="21">
        <v>9</v>
      </c>
      <c r="L40" s="21">
        <v>10</v>
      </c>
      <c r="M40" s="21">
        <v>11</v>
      </c>
      <c r="N40" s="21">
        <v>12</v>
      </c>
      <c r="O40" s="20" t="s">
        <v>50</v>
      </c>
    </row>
    <row r="41" spans="2:20" x14ac:dyDescent="0.35">
      <c r="B41" s="185" t="s">
        <v>156</v>
      </c>
      <c r="C41" s="186"/>
      <c r="D41" s="186"/>
      <c r="E41" s="186"/>
      <c r="F41" s="186"/>
      <c r="G41" s="186"/>
      <c r="H41" s="186"/>
      <c r="I41" s="186"/>
      <c r="J41" s="186"/>
      <c r="K41" s="186"/>
      <c r="L41" s="186"/>
      <c r="M41" s="186"/>
      <c r="N41" s="186"/>
      <c r="O41" s="186"/>
    </row>
    <row r="42" spans="2:20" x14ac:dyDescent="0.35">
      <c r="B42" s="185" t="s">
        <v>157</v>
      </c>
      <c r="C42" s="424">
        <f>+Costos!$G$30</f>
        <v>2890.833333333333</v>
      </c>
      <c r="D42" s="424">
        <f>+Costos!$G$30</f>
        <v>2890.833333333333</v>
      </c>
      <c r="E42" s="424">
        <f>+Costos!$G$30</f>
        <v>2890.833333333333</v>
      </c>
      <c r="F42" s="424">
        <f>+Costos!$G$30</f>
        <v>2890.833333333333</v>
      </c>
      <c r="G42" s="424">
        <f>+Costos!$G$30</f>
        <v>2890.833333333333</v>
      </c>
      <c r="H42" s="424">
        <f>+Costos!$G$30</f>
        <v>2890.833333333333</v>
      </c>
      <c r="I42" s="424">
        <f>+Costos!$G$30</f>
        <v>2890.833333333333</v>
      </c>
      <c r="J42" s="424">
        <f>+Costos!$G$30</f>
        <v>2890.833333333333</v>
      </c>
      <c r="K42" s="424">
        <f>+Costos!$G$30</f>
        <v>2890.833333333333</v>
      </c>
      <c r="L42" s="424">
        <f>+Costos!$G$30</f>
        <v>2890.833333333333</v>
      </c>
      <c r="M42" s="424">
        <f>+Costos!$G$30</f>
        <v>2890.833333333333</v>
      </c>
      <c r="N42" s="424">
        <f>+Costos!$G$30</f>
        <v>2890.833333333333</v>
      </c>
      <c r="O42" s="186">
        <f>SUM(C42:N42)</f>
        <v>34689.999999999993</v>
      </c>
    </row>
    <row r="43" spans="2:20" x14ac:dyDescent="0.35">
      <c r="B43" s="185" t="s">
        <v>158</v>
      </c>
      <c r="C43" s="186">
        <f>+C30*$T31+C31*$T32+C32*$T33+C33*$T34+C34*$T35+C35*$T36</f>
        <v>0</v>
      </c>
      <c r="D43" s="186">
        <f t="shared" ref="D43:N43" si="11">+D30*$T31+D31*$T32+D32*$T33+D33*$T34+D34*$T35+D35*$T36</f>
        <v>0</v>
      </c>
      <c r="E43" s="186">
        <f t="shared" si="11"/>
        <v>0</v>
      </c>
      <c r="F43" s="186">
        <f t="shared" si="11"/>
        <v>0</v>
      </c>
      <c r="G43" s="186">
        <f t="shared" si="11"/>
        <v>0</v>
      </c>
      <c r="H43" s="186">
        <f t="shared" si="11"/>
        <v>0</v>
      </c>
      <c r="I43" s="186">
        <f t="shared" si="11"/>
        <v>0</v>
      </c>
      <c r="J43" s="186">
        <f t="shared" si="11"/>
        <v>0</v>
      </c>
      <c r="K43" s="186">
        <f t="shared" si="11"/>
        <v>0</v>
      </c>
      <c r="L43" s="186">
        <f t="shared" si="11"/>
        <v>0</v>
      </c>
      <c r="M43" s="186">
        <f t="shared" si="11"/>
        <v>0</v>
      </c>
      <c r="N43" s="186">
        <f t="shared" si="11"/>
        <v>0</v>
      </c>
      <c r="O43" s="186">
        <f>SUM(C43:N43)</f>
        <v>0</v>
      </c>
    </row>
    <row r="44" spans="2:20" ht="13.15" x14ac:dyDescent="0.4">
      <c r="B44" s="187" t="s">
        <v>63</v>
      </c>
      <c r="C44" s="188">
        <f>SUM(C41:C43)</f>
        <v>2890.833333333333</v>
      </c>
      <c r="D44" s="188">
        <f t="shared" ref="D44:O44" si="12">SUM(D41:D43)</f>
        <v>2890.833333333333</v>
      </c>
      <c r="E44" s="188">
        <f t="shared" si="12"/>
        <v>2890.833333333333</v>
      </c>
      <c r="F44" s="188">
        <f t="shared" si="12"/>
        <v>2890.833333333333</v>
      </c>
      <c r="G44" s="188">
        <f t="shared" si="12"/>
        <v>2890.833333333333</v>
      </c>
      <c r="H44" s="188">
        <f t="shared" si="12"/>
        <v>2890.833333333333</v>
      </c>
      <c r="I44" s="188">
        <f t="shared" si="12"/>
        <v>2890.833333333333</v>
      </c>
      <c r="J44" s="188">
        <f t="shared" si="12"/>
        <v>2890.833333333333</v>
      </c>
      <c r="K44" s="188">
        <f t="shared" si="12"/>
        <v>2890.833333333333</v>
      </c>
      <c r="L44" s="188">
        <f t="shared" si="12"/>
        <v>2890.833333333333</v>
      </c>
      <c r="M44" s="188">
        <f t="shared" si="12"/>
        <v>2890.833333333333</v>
      </c>
      <c r="N44" s="188">
        <f t="shared" si="12"/>
        <v>2890.833333333333</v>
      </c>
      <c r="O44" s="188">
        <f t="shared" si="12"/>
        <v>34689.999999999993</v>
      </c>
    </row>
    <row r="46" spans="2:20" ht="17.649999999999999" x14ac:dyDescent="0.5">
      <c r="B46" s="605" t="s">
        <v>66</v>
      </c>
      <c r="C46" s="605"/>
      <c r="D46" s="605"/>
      <c r="E46" s="605"/>
      <c r="F46" s="605"/>
      <c r="G46" s="605"/>
      <c r="H46" s="605"/>
      <c r="I46" s="605"/>
      <c r="J46" s="605"/>
      <c r="K46" s="605"/>
      <c r="L46" s="605"/>
      <c r="M46" s="605"/>
      <c r="N46" s="605"/>
      <c r="O46" s="605"/>
    </row>
    <row r="47" spans="2:20" ht="13.15" thickBot="1" x14ac:dyDescent="0.4"/>
    <row r="48" spans="2:20" ht="15" x14ac:dyDescent="0.4">
      <c r="B48" s="610" t="s">
        <v>46</v>
      </c>
      <c r="C48" s="611"/>
      <c r="D48" s="611"/>
      <c r="E48" s="611"/>
      <c r="F48" s="611"/>
      <c r="G48" s="611"/>
      <c r="H48" s="611"/>
      <c r="I48" s="611"/>
      <c r="J48" s="611"/>
      <c r="K48" s="611"/>
      <c r="L48" s="611"/>
      <c r="M48" s="611"/>
      <c r="N48" s="611"/>
      <c r="O48" s="612"/>
      <c r="Q48" s="613" t="s">
        <v>47</v>
      </c>
      <c r="R48" s="614"/>
    </row>
    <row r="49" spans="2:20" ht="13.5" thickBot="1" x14ac:dyDescent="0.45">
      <c r="B49" s="26" t="s">
        <v>52</v>
      </c>
      <c r="C49" s="25">
        <v>1</v>
      </c>
      <c r="D49" s="25">
        <v>2</v>
      </c>
      <c r="E49" s="25">
        <v>3</v>
      </c>
      <c r="F49" s="25">
        <v>4</v>
      </c>
      <c r="G49" s="25">
        <v>5</v>
      </c>
      <c r="H49" s="25">
        <v>6</v>
      </c>
      <c r="I49" s="25">
        <v>7</v>
      </c>
      <c r="J49" s="25">
        <v>8</v>
      </c>
      <c r="K49" s="25">
        <v>9</v>
      </c>
      <c r="L49" s="25">
        <v>10</v>
      </c>
      <c r="M49" s="25">
        <v>11</v>
      </c>
      <c r="N49" s="25">
        <v>12</v>
      </c>
      <c r="O49" s="24" t="s">
        <v>50</v>
      </c>
      <c r="P49" s="23"/>
      <c r="Q49" s="608" t="s">
        <v>51</v>
      </c>
      <c r="R49" s="609"/>
    </row>
    <row r="50" spans="2:20" ht="13.15" x14ac:dyDescent="0.4">
      <c r="B50" s="64" t="str">
        <f t="shared" ref="B50:B55" si="13">+B30</f>
        <v>Publicación y Desarrollo de Trabajo completo</v>
      </c>
      <c r="C50" s="403">
        <f>+'Proy Vtas'!C56</f>
        <v>0</v>
      </c>
      <c r="D50" s="403">
        <f>+'Proy Vtas'!D56</f>
        <v>0</v>
      </c>
      <c r="E50" s="403">
        <f>+'Proy Vtas'!E56</f>
        <v>0</v>
      </c>
      <c r="F50" s="403">
        <f>+'Proy Vtas'!F56</f>
        <v>0</v>
      </c>
      <c r="G50" s="403">
        <f>+'Proy Vtas'!G56</f>
        <v>0</v>
      </c>
      <c r="H50" s="403">
        <f>+'Proy Vtas'!H56</f>
        <v>0</v>
      </c>
      <c r="I50" s="403">
        <f>+'Proy Vtas'!I56</f>
        <v>0</v>
      </c>
      <c r="J50" s="403">
        <f>+'Proy Vtas'!J56</f>
        <v>0</v>
      </c>
      <c r="K50" s="403">
        <f>+'Proy Vtas'!K56</f>
        <v>0</v>
      </c>
      <c r="L50" s="403">
        <f>+'Proy Vtas'!L56</f>
        <v>0</v>
      </c>
      <c r="M50" s="403">
        <f>+'Proy Vtas'!M56</f>
        <v>0</v>
      </c>
      <c r="N50" s="403">
        <f>+'Proy Vtas'!N56</f>
        <v>0</v>
      </c>
      <c r="O50" s="369">
        <f>SUM(C50:N50)</f>
        <v>0</v>
      </c>
      <c r="P50" s="178">
        <f>SUM(C50:N50)</f>
        <v>0</v>
      </c>
      <c r="Q50" s="22" t="s">
        <v>52</v>
      </c>
      <c r="R50" s="20" t="s">
        <v>153</v>
      </c>
      <c r="S50" s="20" t="s">
        <v>148</v>
      </c>
      <c r="T50" s="20" t="s">
        <v>141</v>
      </c>
    </row>
    <row r="51" spans="2:20" ht="13.15" x14ac:dyDescent="0.4">
      <c r="B51" s="64" t="str">
        <f t="shared" si="13"/>
        <v>Denuncias o solicitudes de reembolso</v>
      </c>
      <c r="C51" s="403">
        <f>+'Proy Vtas'!C57</f>
        <v>0</v>
      </c>
      <c r="D51" s="403">
        <f>+'Proy Vtas'!D57</f>
        <v>0</v>
      </c>
      <c r="E51" s="403">
        <f>+'Proy Vtas'!E57</f>
        <v>0</v>
      </c>
      <c r="F51" s="403">
        <f>+'Proy Vtas'!F57</f>
        <v>0</v>
      </c>
      <c r="G51" s="403">
        <f>+'Proy Vtas'!G57</f>
        <v>0</v>
      </c>
      <c r="H51" s="403">
        <f>+'Proy Vtas'!H57</f>
        <v>0</v>
      </c>
      <c r="I51" s="403">
        <f>+'Proy Vtas'!I57</f>
        <v>0</v>
      </c>
      <c r="J51" s="403">
        <f>+'Proy Vtas'!J57</f>
        <v>0</v>
      </c>
      <c r="K51" s="403">
        <f>+'Proy Vtas'!K57</f>
        <v>0</v>
      </c>
      <c r="L51" s="403">
        <f>+'Proy Vtas'!L57</f>
        <v>0</v>
      </c>
      <c r="M51" s="403">
        <f>+'Proy Vtas'!M57</f>
        <v>0</v>
      </c>
      <c r="N51" s="403">
        <f>+'Proy Vtas'!N57</f>
        <v>0</v>
      </c>
      <c r="O51" s="369">
        <f t="shared" ref="O51:O55" si="14">SUM(C51:N51)</f>
        <v>0</v>
      </c>
      <c r="P51" s="178">
        <f t="shared" ref="P51:P56" si="15">SUM(C51:N51)</f>
        <v>0</v>
      </c>
      <c r="Q51" s="19" t="str">
        <f t="shared" ref="Q51:Q56" si="16">+Q31</f>
        <v>Producto1</v>
      </c>
      <c r="R51" s="149">
        <f t="shared" ref="R51:R56" si="17">+S51+T51</f>
        <v>0</v>
      </c>
      <c r="S51" s="149">
        <f t="shared" ref="S51:T56" si="18">+S31</f>
        <v>0</v>
      </c>
      <c r="T51" s="149">
        <f t="shared" si="18"/>
        <v>0</v>
      </c>
    </row>
    <row r="52" spans="2:20" ht="13.15" x14ac:dyDescent="0.4">
      <c r="B52" s="64" t="str">
        <f t="shared" si="13"/>
        <v>Ventas de examenes resueltos</v>
      </c>
      <c r="C52" s="403">
        <f>+'Proy Vtas'!C58</f>
        <v>0</v>
      </c>
      <c r="D52" s="403">
        <f>+'Proy Vtas'!D58</f>
        <v>0</v>
      </c>
      <c r="E52" s="403">
        <f>+'Proy Vtas'!E58</f>
        <v>0</v>
      </c>
      <c r="F52" s="403">
        <f>+'Proy Vtas'!F58</f>
        <v>0</v>
      </c>
      <c r="G52" s="403">
        <f>+'Proy Vtas'!G58</f>
        <v>0</v>
      </c>
      <c r="H52" s="403">
        <f>+'Proy Vtas'!H58</f>
        <v>0</v>
      </c>
      <c r="I52" s="403">
        <f>+'Proy Vtas'!I58</f>
        <v>0</v>
      </c>
      <c r="J52" s="403">
        <f>+'Proy Vtas'!J58</f>
        <v>0</v>
      </c>
      <c r="K52" s="403">
        <f>+'Proy Vtas'!K58</f>
        <v>0</v>
      </c>
      <c r="L52" s="403">
        <f>+'Proy Vtas'!L58</f>
        <v>0</v>
      </c>
      <c r="M52" s="403">
        <f>+'Proy Vtas'!M58</f>
        <v>0</v>
      </c>
      <c r="N52" s="403">
        <f>+'Proy Vtas'!N58</f>
        <v>0</v>
      </c>
      <c r="O52" s="369">
        <f t="shared" si="14"/>
        <v>0</v>
      </c>
      <c r="P52" s="178">
        <f t="shared" si="15"/>
        <v>0</v>
      </c>
      <c r="Q52" s="19" t="str">
        <f t="shared" si="16"/>
        <v>Producto2</v>
      </c>
      <c r="R52" s="149">
        <f t="shared" si="17"/>
        <v>0</v>
      </c>
      <c r="S52" s="149">
        <f t="shared" si="18"/>
        <v>0</v>
      </c>
      <c r="T52" s="149">
        <f t="shared" si="18"/>
        <v>0</v>
      </c>
    </row>
    <row r="53" spans="2:20" ht="13.15" x14ac:dyDescent="0.4">
      <c r="B53" s="64">
        <f t="shared" si="13"/>
        <v>0</v>
      </c>
      <c r="C53" s="403">
        <f>+'Proy Vtas'!C59</f>
        <v>0</v>
      </c>
      <c r="D53" s="403">
        <f>+'Proy Vtas'!D59</f>
        <v>0</v>
      </c>
      <c r="E53" s="403">
        <f>+'Proy Vtas'!E59</f>
        <v>0</v>
      </c>
      <c r="F53" s="403">
        <f>+'Proy Vtas'!F59</f>
        <v>0</v>
      </c>
      <c r="G53" s="403">
        <f>+'Proy Vtas'!G59</f>
        <v>0</v>
      </c>
      <c r="H53" s="403">
        <f>+'Proy Vtas'!H59</f>
        <v>0</v>
      </c>
      <c r="I53" s="403">
        <f>+'Proy Vtas'!I59</f>
        <v>0</v>
      </c>
      <c r="J53" s="403">
        <f>+'Proy Vtas'!J59</f>
        <v>0</v>
      </c>
      <c r="K53" s="403">
        <f>+'Proy Vtas'!K59</f>
        <v>0</v>
      </c>
      <c r="L53" s="403">
        <f>+'Proy Vtas'!L59</f>
        <v>0</v>
      </c>
      <c r="M53" s="403">
        <f>+'Proy Vtas'!M59</f>
        <v>0</v>
      </c>
      <c r="N53" s="403">
        <f>+'Proy Vtas'!N59</f>
        <v>0</v>
      </c>
      <c r="O53" s="369">
        <f t="shared" si="14"/>
        <v>0</v>
      </c>
      <c r="P53" s="178">
        <f t="shared" si="15"/>
        <v>0</v>
      </c>
      <c r="Q53" s="19" t="str">
        <f t="shared" si="16"/>
        <v>Producto3</v>
      </c>
      <c r="R53" s="149">
        <f t="shared" si="17"/>
        <v>3.2</v>
      </c>
      <c r="S53" s="149">
        <f t="shared" si="18"/>
        <v>0</v>
      </c>
      <c r="T53" s="149">
        <f t="shared" si="18"/>
        <v>3.2</v>
      </c>
    </row>
    <row r="54" spans="2:20" ht="13.15" x14ac:dyDescent="0.4">
      <c r="B54" s="64">
        <f t="shared" si="13"/>
        <v>0</v>
      </c>
      <c r="C54" s="403">
        <f>+'Proy Vtas'!C60</f>
        <v>0</v>
      </c>
      <c r="D54" s="403">
        <f>+'Proy Vtas'!D60</f>
        <v>0</v>
      </c>
      <c r="E54" s="403">
        <f>+'Proy Vtas'!E60</f>
        <v>0</v>
      </c>
      <c r="F54" s="403">
        <f>+'Proy Vtas'!F60</f>
        <v>0</v>
      </c>
      <c r="G54" s="403">
        <f>+'Proy Vtas'!G60</f>
        <v>0</v>
      </c>
      <c r="H54" s="403">
        <f>+'Proy Vtas'!H60</f>
        <v>0</v>
      </c>
      <c r="I54" s="403">
        <f>+'Proy Vtas'!I60</f>
        <v>0</v>
      </c>
      <c r="J54" s="403">
        <f>+'Proy Vtas'!J60</f>
        <v>0</v>
      </c>
      <c r="K54" s="403">
        <f>+'Proy Vtas'!K60</f>
        <v>0</v>
      </c>
      <c r="L54" s="403">
        <f>+'Proy Vtas'!L60</f>
        <v>0</v>
      </c>
      <c r="M54" s="403">
        <f>+'Proy Vtas'!M60</f>
        <v>0</v>
      </c>
      <c r="N54" s="403">
        <f>+'Proy Vtas'!N60</f>
        <v>0</v>
      </c>
      <c r="O54" s="369">
        <f t="shared" si="14"/>
        <v>0</v>
      </c>
      <c r="P54" s="178">
        <f t="shared" si="15"/>
        <v>0</v>
      </c>
      <c r="Q54" s="19">
        <f t="shared" si="16"/>
        <v>0</v>
      </c>
      <c r="R54" s="149">
        <f t="shared" si="17"/>
        <v>0</v>
      </c>
      <c r="S54" s="149">
        <f t="shared" si="18"/>
        <v>0</v>
      </c>
      <c r="T54" s="149">
        <f t="shared" si="18"/>
        <v>0</v>
      </c>
    </row>
    <row r="55" spans="2:20" ht="13.15" x14ac:dyDescent="0.4">
      <c r="B55" s="64">
        <f t="shared" si="13"/>
        <v>0</v>
      </c>
      <c r="C55" s="403">
        <f>+'Proy Vtas'!C61</f>
        <v>0</v>
      </c>
      <c r="D55" s="403">
        <f>+'Proy Vtas'!D61</f>
        <v>0</v>
      </c>
      <c r="E55" s="403">
        <f>+'Proy Vtas'!E61</f>
        <v>0</v>
      </c>
      <c r="F55" s="403">
        <f>+'Proy Vtas'!F61</f>
        <v>0</v>
      </c>
      <c r="G55" s="403">
        <f>+'Proy Vtas'!G61</f>
        <v>0</v>
      </c>
      <c r="H55" s="403">
        <f>+'Proy Vtas'!H61</f>
        <v>0</v>
      </c>
      <c r="I55" s="403">
        <f>+'Proy Vtas'!I61</f>
        <v>0</v>
      </c>
      <c r="J55" s="403">
        <f>+'Proy Vtas'!J61</f>
        <v>0</v>
      </c>
      <c r="K55" s="403">
        <f>+'Proy Vtas'!K61</f>
        <v>0</v>
      </c>
      <c r="L55" s="403">
        <f>+'Proy Vtas'!L61</f>
        <v>0</v>
      </c>
      <c r="M55" s="403">
        <f>+'Proy Vtas'!M61</f>
        <v>0</v>
      </c>
      <c r="N55" s="403">
        <f>+'Proy Vtas'!N61</f>
        <v>0</v>
      </c>
      <c r="O55" s="369">
        <f t="shared" si="14"/>
        <v>0</v>
      </c>
      <c r="P55" s="178">
        <f t="shared" si="15"/>
        <v>0</v>
      </c>
      <c r="Q55" s="19">
        <f t="shared" si="16"/>
        <v>0</v>
      </c>
      <c r="R55" s="149">
        <f t="shared" si="17"/>
        <v>0</v>
      </c>
      <c r="S55" s="149">
        <f t="shared" si="18"/>
        <v>0</v>
      </c>
      <c r="T55" s="149">
        <f t="shared" si="18"/>
        <v>0</v>
      </c>
    </row>
    <row r="56" spans="2:20" ht="13.15" x14ac:dyDescent="0.4">
      <c r="B56" s="396" t="s">
        <v>50</v>
      </c>
      <c r="C56" s="404">
        <f>SUM(C50:C55)</f>
        <v>0</v>
      </c>
      <c r="D56" s="404">
        <f t="shared" ref="D56:N56" si="19">SUM(D50:D55)</f>
        <v>0</v>
      </c>
      <c r="E56" s="404">
        <f t="shared" si="19"/>
        <v>0</v>
      </c>
      <c r="F56" s="404">
        <f t="shared" si="19"/>
        <v>0</v>
      </c>
      <c r="G56" s="404">
        <f t="shared" si="19"/>
        <v>0</v>
      </c>
      <c r="H56" s="404">
        <f t="shared" si="19"/>
        <v>0</v>
      </c>
      <c r="I56" s="404">
        <f t="shared" si="19"/>
        <v>0</v>
      </c>
      <c r="J56" s="404">
        <f t="shared" si="19"/>
        <v>0</v>
      </c>
      <c r="K56" s="404">
        <f t="shared" si="19"/>
        <v>0</v>
      </c>
      <c r="L56" s="404">
        <f t="shared" si="19"/>
        <v>0</v>
      </c>
      <c r="M56" s="404">
        <f t="shared" si="19"/>
        <v>0</v>
      </c>
      <c r="N56" s="404">
        <f t="shared" si="19"/>
        <v>0</v>
      </c>
      <c r="O56" s="397">
        <f>SUM(O50:O55)</f>
        <v>0</v>
      </c>
      <c r="P56" s="178">
        <f t="shared" si="15"/>
        <v>0</v>
      </c>
      <c r="Q56" s="19">
        <f t="shared" si="16"/>
        <v>0</v>
      </c>
      <c r="R56" s="149">
        <f t="shared" si="17"/>
        <v>0</v>
      </c>
      <c r="S56" s="149">
        <f t="shared" si="18"/>
        <v>0</v>
      </c>
      <c r="T56" s="149">
        <f t="shared" si="18"/>
        <v>0</v>
      </c>
    </row>
    <row r="57" spans="2:20" x14ac:dyDescent="0.35">
      <c r="Q57" s="19"/>
      <c r="R57" s="384">
        <f>SUM(R51:R56)</f>
        <v>3.2</v>
      </c>
      <c r="S57" s="384">
        <f>SUM(S51:S56)</f>
        <v>0</v>
      </c>
      <c r="T57" s="384">
        <f>SUM(T51:T56)</f>
        <v>3.2</v>
      </c>
    </row>
    <row r="58" spans="2:20" ht="13.5" thickBot="1" x14ac:dyDescent="0.45">
      <c r="B58" s="670" t="s">
        <v>155</v>
      </c>
      <c r="C58" s="671"/>
      <c r="D58" s="671"/>
      <c r="E58" s="671"/>
      <c r="F58" s="671"/>
      <c r="G58" s="671"/>
      <c r="H58" s="671"/>
      <c r="I58" s="671"/>
      <c r="J58" s="671"/>
      <c r="K58" s="671"/>
      <c r="L58" s="671"/>
      <c r="M58" s="671"/>
      <c r="N58" s="671"/>
      <c r="O58" s="672"/>
    </row>
    <row r="59" spans="2:20" ht="13.15" x14ac:dyDescent="0.4">
      <c r="B59" s="22" t="s">
        <v>52</v>
      </c>
      <c r="C59" s="21">
        <v>1</v>
      </c>
      <c r="D59" s="21">
        <v>2</v>
      </c>
      <c r="E59" s="21">
        <v>3</v>
      </c>
      <c r="F59" s="21">
        <v>4</v>
      </c>
      <c r="G59" s="21">
        <v>5</v>
      </c>
      <c r="H59" s="21">
        <v>6</v>
      </c>
      <c r="I59" s="21">
        <v>7</v>
      </c>
      <c r="J59" s="21">
        <v>8</v>
      </c>
      <c r="K59" s="21">
        <v>9</v>
      </c>
      <c r="L59" s="21">
        <v>10</v>
      </c>
      <c r="M59" s="21">
        <v>11</v>
      </c>
      <c r="N59" s="21">
        <v>12</v>
      </c>
      <c r="O59" s="20" t="s">
        <v>50</v>
      </c>
    </row>
    <row r="60" spans="2:20" x14ac:dyDescent="0.35">
      <c r="B60" s="185" t="s">
        <v>156</v>
      </c>
      <c r="C60" s="186"/>
      <c r="D60" s="186"/>
      <c r="E60" s="186"/>
      <c r="F60" s="186"/>
      <c r="G60" s="186"/>
      <c r="H60" s="186"/>
      <c r="I60" s="186"/>
      <c r="J60" s="186"/>
      <c r="K60" s="186"/>
      <c r="L60" s="186"/>
      <c r="M60" s="186"/>
      <c r="N60" s="186"/>
      <c r="O60" s="186"/>
    </row>
    <row r="61" spans="2:20" x14ac:dyDescent="0.35">
      <c r="B61" s="185" t="s">
        <v>157</v>
      </c>
      <c r="C61" s="424">
        <f>+Costos!$G$30</f>
        <v>2890.833333333333</v>
      </c>
      <c r="D61" s="424">
        <f>+Costos!$G$30</f>
        <v>2890.833333333333</v>
      </c>
      <c r="E61" s="424">
        <f>+Costos!$G$30</f>
        <v>2890.833333333333</v>
      </c>
      <c r="F61" s="424">
        <f>+Costos!$G$30</f>
        <v>2890.833333333333</v>
      </c>
      <c r="G61" s="424">
        <f>+Costos!$G$30</f>
        <v>2890.833333333333</v>
      </c>
      <c r="H61" s="424">
        <f>+Costos!$G$30</f>
        <v>2890.833333333333</v>
      </c>
      <c r="I61" s="424">
        <f>+Costos!$G$30</f>
        <v>2890.833333333333</v>
      </c>
      <c r="J61" s="424">
        <f>+Costos!$G$30</f>
        <v>2890.833333333333</v>
      </c>
      <c r="K61" s="424">
        <f>+Costos!$G$30</f>
        <v>2890.833333333333</v>
      </c>
      <c r="L61" s="424">
        <f>+Costos!$G$30</f>
        <v>2890.833333333333</v>
      </c>
      <c r="M61" s="424">
        <f>+Costos!$G$30</f>
        <v>2890.833333333333</v>
      </c>
      <c r="N61" s="424">
        <f>+Costos!$G$30</f>
        <v>2890.833333333333</v>
      </c>
      <c r="O61" s="186">
        <f>SUM(C61:N61)</f>
        <v>34689.999999999993</v>
      </c>
    </row>
    <row r="62" spans="2:20" x14ac:dyDescent="0.35">
      <c r="B62" s="185" t="s">
        <v>158</v>
      </c>
      <c r="C62" s="186">
        <f>+C50*$T51+C51*$T52+C52*$T53+C53*$T54+C54*$T55+C55*$T56</f>
        <v>0</v>
      </c>
      <c r="D62" s="186">
        <f t="shared" ref="D62:N62" si="20">+D50*$T51+D51*$T52+D52*$T53+D53*$T54+D54*$T55+D55*$T56</f>
        <v>0</v>
      </c>
      <c r="E62" s="186">
        <f t="shared" si="20"/>
        <v>0</v>
      </c>
      <c r="F62" s="186">
        <f t="shared" si="20"/>
        <v>0</v>
      </c>
      <c r="G62" s="186">
        <f t="shared" si="20"/>
        <v>0</v>
      </c>
      <c r="H62" s="186">
        <f t="shared" si="20"/>
        <v>0</v>
      </c>
      <c r="I62" s="186">
        <f t="shared" si="20"/>
        <v>0</v>
      </c>
      <c r="J62" s="186">
        <f t="shared" si="20"/>
        <v>0</v>
      </c>
      <c r="K62" s="186">
        <f t="shared" si="20"/>
        <v>0</v>
      </c>
      <c r="L62" s="186">
        <f t="shared" si="20"/>
        <v>0</v>
      </c>
      <c r="M62" s="186">
        <f t="shared" si="20"/>
        <v>0</v>
      </c>
      <c r="N62" s="186">
        <f t="shared" si="20"/>
        <v>0</v>
      </c>
      <c r="O62" s="186">
        <f>SUM(C62:N62)</f>
        <v>0</v>
      </c>
    </row>
    <row r="63" spans="2:20" ht="13.15" x14ac:dyDescent="0.4">
      <c r="B63" s="187" t="s">
        <v>63</v>
      </c>
      <c r="C63" s="188">
        <f>SUM(C60:C62)</f>
        <v>2890.833333333333</v>
      </c>
      <c r="D63" s="188">
        <f t="shared" ref="D63:N63" si="21">SUM(D60:D62)</f>
        <v>2890.833333333333</v>
      </c>
      <c r="E63" s="188">
        <f t="shared" si="21"/>
        <v>2890.833333333333</v>
      </c>
      <c r="F63" s="188">
        <f t="shared" si="21"/>
        <v>2890.833333333333</v>
      </c>
      <c r="G63" s="188">
        <f t="shared" si="21"/>
        <v>2890.833333333333</v>
      </c>
      <c r="H63" s="188">
        <f t="shared" si="21"/>
        <v>2890.833333333333</v>
      </c>
      <c r="I63" s="188">
        <f t="shared" si="21"/>
        <v>2890.833333333333</v>
      </c>
      <c r="J63" s="188">
        <f t="shared" si="21"/>
        <v>2890.833333333333</v>
      </c>
      <c r="K63" s="188">
        <f t="shared" si="21"/>
        <v>2890.833333333333</v>
      </c>
      <c r="L63" s="188">
        <f t="shared" si="21"/>
        <v>2890.833333333333</v>
      </c>
      <c r="M63" s="188">
        <f t="shared" si="21"/>
        <v>2890.833333333333</v>
      </c>
      <c r="N63" s="188">
        <f t="shared" si="21"/>
        <v>2890.833333333333</v>
      </c>
      <c r="O63" s="188">
        <f>SUM(O61:O62)</f>
        <v>34689.999999999993</v>
      </c>
    </row>
    <row r="65" spans="2:20" ht="17.649999999999999" x14ac:dyDescent="0.5">
      <c r="B65" s="605" t="s">
        <v>67</v>
      </c>
      <c r="C65" s="605"/>
      <c r="D65" s="605"/>
      <c r="E65" s="605"/>
      <c r="F65" s="605"/>
      <c r="G65" s="605"/>
      <c r="H65" s="605"/>
      <c r="I65" s="605"/>
      <c r="J65" s="605"/>
      <c r="K65" s="605"/>
      <c r="L65" s="605"/>
      <c r="M65" s="605"/>
      <c r="N65" s="605"/>
      <c r="O65" s="605"/>
    </row>
    <row r="66" spans="2:20" ht="13.15" thickBot="1" x14ac:dyDescent="0.4"/>
    <row r="67" spans="2:20" ht="15" x14ac:dyDescent="0.4">
      <c r="B67" s="610" t="s">
        <v>46</v>
      </c>
      <c r="C67" s="611"/>
      <c r="D67" s="611"/>
      <c r="E67" s="611"/>
      <c r="F67" s="611"/>
      <c r="G67" s="611"/>
      <c r="H67" s="611"/>
      <c r="I67" s="611"/>
      <c r="J67" s="611"/>
      <c r="K67" s="611"/>
      <c r="L67" s="611"/>
      <c r="M67" s="611"/>
      <c r="N67" s="611"/>
      <c r="O67" s="612"/>
      <c r="Q67" s="613" t="s">
        <v>47</v>
      </c>
      <c r="R67" s="614"/>
    </row>
    <row r="68" spans="2:20" ht="13.5" thickBot="1" x14ac:dyDescent="0.45">
      <c r="B68" s="26" t="s">
        <v>52</v>
      </c>
      <c r="C68" s="25">
        <v>1</v>
      </c>
      <c r="D68" s="25">
        <v>2</v>
      </c>
      <c r="E68" s="25">
        <v>3</v>
      </c>
      <c r="F68" s="25">
        <v>4</v>
      </c>
      <c r="G68" s="25">
        <v>5</v>
      </c>
      <c r="H68" s="25">
        <v>6</v>
      </c>
      <c r="I68" s="25">
        <v>7</v>
      </c>
      <c r="J68" s="25">
        <v>8</v>
      </c>
      <c r="K68" s="25">
        <v>9</v>
      </c>
      <c r="L68" s="25">
        <v>10</v>
      </c>
      <c r="M68" s="25">
        <v>11</v>
      </c>
      <c r="N68" s="25">
        <v>12</v>
      </c>
      <c r="O68" s="24" t="s">
        <v>50</v>
      </c>
      <c r="P68" s="23"/>
      <c r="Q68" s="608" t="s">
        <v>51</v>
      </c>
      <c r="R68" s="609"/>
    </row>
    <row r="69" spans="2:20" ht="13.15" x14ac:dyDescent="0.4">
      <c r="B69" s="64" t="str">
        <f t="shared" ref="B69:B74" si="22">+B50</f>
        <v>Publicación y Desarrollo de Trabajo completo</v>
      </c>
      <c r="C69" s="403">
        <f>+'Proy Vtas'!C78</f>
        <v>0</v>
      </c>
      <c r="D69" s="403">
        <f>+'Proy Vtas'!D78</f>
        <v>0</v>
      </c>
      <c r="E69" s="403">
        <f>+'Proy Vtas'!E78</f>
        <v>0</v>
      </c>
      <c r="F69" s="403">
        <f>+'Proy Vtas'!F78</f>
        <v>0</v>
      </c>
      <c r="G69" s="403">
        <f>+'Proy Vtas'!G78</f>
        <v>0</v>
      </c>
      <c r="H69" s="403">
        <f>+'Proy Vtas'!H78</f>
        <v>0</v>
      </c>
      <c r="I69" s="403">
        <f>+'Proy Vtas'!I78</f>
        <v>0</v>
      </c>
      <c r="J69" s="403">
        <f>+'Proy Vtas'!J78</f>
        <v>0</v>
      </c>
      <c r="K69" s="403">
        <f>+'Proy Vtas'!K78</f>
        <v>0</v>
      </c>
      <c r="L69" s="403">
        <f>+'Proy Vtas'!L78</f>
        <v>0</v>
      </c>
      <c r="M69" s="403">
        <f>+'Proy Vtas'!M78</f>
        <v>0</v>
      </c>
      <c r="N69" s="403">
        <f>+'Proy Vtas'!N78</f>
        <v>0</v>
      </c>
      <c r="O69" s="369">
        <f>SUM(C69:N69)</f>
        <v>0</v>
      </c>
      <c r="Q69" s="22" t="s">
        <v>52</v>
      </c>
      <c r="R69" s="20" t="s">
        <v>153</v>
      </c>
      <c r="S69" s="20" t="s">
        <v>148</v>
      </c>
      <c r="T69" s="20" t="s">
        <v>141</v>
      </c>
    </row>
    <row r="70" spans="2:20" ht="13.15" x14ac:dyDescent="0.4">
      <c r="B70" s="64" t="str">
        <f t="shared" si="22"/>
        <v>Denuncias o solicitudes de reembolso</v>
      </c>
      <c r="C70" s="403">
        <f>+'Proy Vtas'!C79</f>
        <v>0</v>
      </c>
      <c r="D70" s="403">
        <f>+'Proy Vtas'!D79</f>
        <v>0</v>
      </c>
      <c r="E70" s="403">
        <f>+'Proy Vtas'!E79</f>
        <v>0</v>
      </c>
      <c r="F70" s="403">
        <f>+'Proy Vtas'!F79</f>
        <v>0</v>
      </c>
      <c r="G70" s="403">
        <f>+'Proy Vtas'!G79</f>
        <v>0</v>
      </c>
      <c r="H70" s="403">
        <f>+'Proy Vtas'!H79</f>
        <v>0</v>
      </c>
      <c r="I70" s="403">
        <f>+'Proy Vtas'!I79</f>
        <v>0</v>
      </c>
      <c r="J70" s="403">
        <f>+'Proy Vtas'!J79</f>
        <v>0</v>
      </c>
      <c r="K70" s="403">
        <f>+'Proy Vtas'!K79</f>
        <v>0</v>
      </c>
      <c r="L70" s="403">
        <f>+'Proy Vtas'!L79</f>
        <v>0</v>
      </c>
      <c r="M70" s="403">
        <f>+'Proy Vtas'!M79</f>
        <v>0</v>
      </c>
      <c r="N70" s="403">
        <f>+'Proy Vtas'!N79</f>
        <v>0</v>
      </c>
      <c r="O70" s="369">
        <f t="shared" ref="O70:O74" si="23">SUM(C70:N70)</f>
        <v>0</v>
      </c>
      <c r="Q70" s="19" t="str">
        <f t="shared" ref="Q70:Q75" si="24">+Q51</f>
        <v>Producto1</v>
      </c>
      <c r="R70" s="149">
        <f>+S70+T70</f>
        <v>0</v>
      </c>
      <c r="S70" s="149">
        <f>+S51</f>
        <v>0</v>
      </c>
      <c r="T70" s="149">
        <f>+T51</f>
        <v>0</v>
      </c>
    </row>
    <row r="71" spans="2:20" ht="13.15" x14ac:dyDescent="0.4">
      <c r="B71" s="64" t="str">
        <f t="shared" si="22"/>
        <v>Ventas de examenes resueltos</v>
      </c>
      <c r="C71" s="403">
        <f>+'Proy Vtas'!C80</f>
        <v>0</v>
      </c>
      <c r="D71" s="403">
        <f>+'Proy Vtas'!D80</f>
        <v>0</v>
      </c>
      <c r="E71" s="403">
        <f>+'Proy Vtas'!E80</f>
        <v>0</v>
      </c>
      <c r="F71" s="403">
        <f>+'Proy Vtas'!F80</f>
        <v>0</v>
      </c>
      <c r="G71" s="403">
        <f>+'Proy Vtas'!G80</f>
        <v>0</v>
      </c>
      <c r="H71" s="403">
        <f>+'Proy Vtas'!H80</f>
        <v>0</v>
      </c>
      <c r="I71" s="403">
        <f>+'Proy Vtas'!I80</f>
        <v>0</v>
      </c>
      <c r="J71" s="403">
        <f>+'Proy Vtas'!J80</f>
        <v>0</v>
      </c>
      <c r="K71" s="403">
        <f>+'Proy Vtas'!K80</f>
        <v>0</v>
      </c>
      <c r="L71" s="403">
        <f>+'Proy Vtas'!L80</f>
        <v>0</v>
      </c>
      <c r="M71" s="403">
        <f>+'Proy Vtas'!M80</f>
        <v>0</v>
      </c>
      <c r="N71" s="403">
        <f>+'Proy Vtas'!N80</f>
        <v>0</v>
      </c>
      <c r="O71" s="369">
        <f t="shared" si="23"/>
        <v>0</v>
      </c>
      <c r="Q71" s="19" t="str">
        <f t="shared" si="24"/>
        <v>Producto2</v>
      </c>
      <c r="R71" s="149">
        <f t="shared" ref="R71:R76" si="25">+S71+T71</f>
        <v>0</v>
      </c>
      <c r="S71" s="149">
        <f t="shared" ref="S71:S76" si="26">+S52</f>
        <v>0</v>
      </c>
      <c r="T71" s="149">
        <f t="shared" ref="T71:T76" si="27">+T52</f>
        <v>0</v>
      </c>
    </row>
    <row r="72" spans="2:20" ht="13.15" x14ac:dyDescent="0.4">
      <c r="B72" s="64">
        <f t="shared" si="22"/>
        <v>0</v>
      </c>
      <c r="C72" s="403">
        <f>+'Proy Vtas'!C81</f>
        <v>0</v>
      </c>
      <c r="D72" s="403">
        <f>+'Proy Vtas'!D81</f>
        <v>0</v>
      </c>
      <c r="E72" s="403">
        <f>+'Proy Vtas'!E81</f>
        <v>0</v>
      </c>
      <c r="F72" s="403">
        <f>+'Proy Vtas'!F81</f>
        <v>0</v>
      </c>
      <c r="G72" s="403">
        <f>+'Proy Vtas'!G81</f>
        <v>0</v>
      </c>
      <c r="H72" s="403">
        <f>+'Proy Vtas'!H81</f>
        <v>0</v>
      </c>
      <c r="I72" s="403">
        <f>+'Proy Vtas'!I81</f>
        <v>0</v>
      </c>
      <c r="J72" s="403">
        <f>+'Proy Vtas'!J81</f>
        <v>0</v>
      </c>
      <c r="K72" s="403">
        <f>+'Proy Vtas'!K81</f>
        <v>0</v>
      </c>
      <c r="L72" s="403">
        <f>+'Proy Vtas'!L81</f>
        <v>0</v>
      </c>
      <c r="M72" s="403">
        <f>+'Proy Vtas'!M81</f>
        <v>0</v>
      </c>
      <c r="N72" s="403">
        <f>+'Proy Vtas'!N81</f>
        <v>0</v>
      </c>
      <c r="O72" s="369">
        <f t="shared" si="23"/>
        <v>0</v>
      </c>
      <c r="Q72" s="19" t="str">
        <f t="shared" si="24"/>
        <v>Producto3</v>
      </c>
      <c r="R72" s="149">
        <f t="shared" si="25"/>
        <v>3.2</v>
      </c>
      <c r="S72" s="149">
        <f t="shared" si="26"/>
        <v>0</v>
      </c>
      <c r="T72" s="149">
        <f t="shared" si="27"/>
        <v>3.2</v>
      </c>
    </row>
    <row r="73" spans="2:20" ht="13.15" x14ac:dyDescent="0.4">
      <c r="B73" s="64">
        <f t="shared" si="22"/>
        <v>0</v>
      </c>
      <c r="C73" s="403">
        <f>+'Proy Vtas'!C82</f>
        <v>0</v>
      </c>
      <c r="D73" s="403">
        <f>+'Proy Vtas'!D82</f>
        <v>0</v>
      </c>
      <c r="E73" s="403">
        <f>+'Proy Vtas'!E82</f>
        <v>0</v>
      </c>
      <c r="F73" s="403">
        <f>+'Proy Vtas'!F82</f>
        <v>0</v>
      </c>
      <c r="G73" s="403">
        <f>+'Proy Vtas'!G82</f>
        <v>0</v>
      </c>
      <c r="H73" s="403">
        <f>+'Proy Vtas'!H82</f>
        <v>0</v>
      </c>
      <c r="I73" s="403">
        <f>+'Proy Vtas'!I82</f>
        <v>0</v>
      </c>
      <c r="J73" s="403">
        <f>+'Proy Vtas'!J82</f>
        <v>0</v>
      </c>
      <c r="K73" s="403">
        <f>+'Proy Vtas'!K82</f>
        <v>0</v>
      </c>
      <c r="L73" s="403">
        <f>+'Proy Vtas'!L82</f>
        <v>0</v>
      </c>
      <c r="M73" s="403">
        <f>+'Proy Vtas'!M82</f>
        <v>0</v>
      </c>
      <c r="N73" s="403">
        <f>+'Proy Vtas'!N82</f>
        <v>0</v>
      </c>
      <c r="O73" s="369">
        <f t="shared" si="23"/>
        <v>0</v>
      </c>
      <c r="Q73" s="19">
        <f t="shared" si="24"/>
        <v>0</v>
      </c>
      <c r="R73" s="149">
        <f t="shared" si="25"/>
        <v>0</v>
      </c>
      <c r="S73" s="149">
        <f t="shared" si="26"/>
        <v>0</v>
      </c>
      <c r="T73" s="149">
        <f t="shared" si="27"/>
        <v>0</v>
      </c>
    </row>
    <row r="74" spans="2:20" ht="13.15" x14ac:dyDescent="0.4">
      <c r="B74" s="64">
        <f t="shared" si="22"/>
        <v>0</v>
      </c>
      <c r="C74" s="403">
        <f>+'Proy Vtas'!C83</f>
        <v>0</v>
      </c>
      <c r="D74" s="403">
        <f>+'Proy Vtas'!D83</f>
        <v>0</v>
      </c>
      <c r="E74" s="403">
        <f>+'Proy Vtas'!E83</f>
        <v>0</v>
      </c>
      <c r="F74" s="403">
        <f>+'Proy Vtas'!F83</f>
        <v>0</v>
      </c>
      <c r="G74" s="403">
        <f>+'Proy Vtas'!G83</f>
        <v>0</v>
      </c>
      <c r="H74" s="403">
        <f>+'Proy Vtas'!H83</f>
        <v>0</v>
      </c>
      <c r="I74" s="403">
        <f>+'Proy Vtas'!I83</f>
        <v>0</v>
      </c>
      <c r="J74" s="403">
        <f>+'Proy Vtas'!J83</f>
        <v>0</v>
      </c>
      <c r="K74" s="403">
        <f>+'Proy Vtas'!K83</f>
        <v>0</v>
      </c>
      <c r="L74" s="403">
        <f>+'Proy Vtas'!L83</f>
        <v>0</v>
      </c>
      <c r="M74" s="403">
        <f>+'Proy Vtas'!M83</f>
        <v>0</v>
      </c>
      <c r="N74" s="403">
        <f>+'Proy Vtas'!N83</f>
        <v>0</v>
      </c>
      <c r="O74" s="369">
        <f t="shared" si="23"/>
        <v>0</v>
      </c>
      <c r="Q74" s="19">
        <f t="shared" si="24"/>
        <v>0</v>
      </c>
      <c r="R74" s="149">
        <f t="shared" si="25"/>
        <v>0</v>
      </c>
      <c r="S74" s="149">
        <f t="shared" si="26"/>
        <v>0</v>
      </c>
      <c r="T74" s="149">
        <f t="shared" si="27"/>
        <v>0</v>
      </c>
    </row>
    <row r="75" spans="2:20" ht="13.15" x14ac:dyDescent="0.4">
      <c r="B75" s="396" t="s">
        <v>50</v>
      </c>
      <c r="C75" s="404">
        <f>SUM(C69:C74)</f>
        <v>0</v>
      </c>
      <c r="D75" s="404">
        <f t="shared" ref="D75:N75" si="28">SUM(D69:D74)</f>
        <v>0</v>
      </c>
      <c r="E75" s="404">
        <f t="shared" si="28"/>
        <v>0</v>
      </c>
      <c r="F75" s="404">
        <f t="shared" si="28"/>
        <v>0</v>
      </c>
      <c r="G75" s="404">
        <f t="shared" si="28"/>
        <v>0</v>
      </c>
      <c r="H75" s="404">
        <f t="shared" si="28"/>
        <v>0</v>
      </c>
      <c r="I75" s="404">
        <f t="shared" si="28"/>
        <v>0</v>
      </c>
      <c r="J75" s="404">
        <f t="shared" si="28"/>
        <v>0</v>
      </c>
      <c r="K75" s="404">
        <f t="shared" si="28"/>
        <v>0</v>
      </c>
      <c r="L75" s="404">
        <f t="shared" si="28"/>
        <v>0</v>
      </c>
      <c r="M75" s="404">
        <f t="shared" si="28"/>
        <v>0</v>
      </c>
      <c r="N75" s="404">
        <f t="shared" si="28"/>
        <v>0</v>
      </c>
      <c r="O75" s="407">
        <f>SUM(O69:O74)</f>
        <v>0</v>
      </c>
      <c r="Q75" s="19">
        <f t="shared" si="24"/>
        <v>0</v>
      </c>
      <c r="R75" s="149">
        <f t="shared" si="25"/>
        <v>0</v>
      </c>
      <c r="S75" s="149">
        <f t="shared" si="26"/>
        <v>0</v>
      </c>
      <c r="T75" s="149">
        <f t="shared" si="27"/>
        <v>0</v>
      </c>
    </row>
    <row r="76" spans="2:20" x14ac:dyDescent="0.35">
      <c r="Q76" s="384"/>
      <c r="R76" s="384">
        <f t="shared" si="25"/>
        <v>3.2</v>
      </c>
      <c r="S76" s="384">
        <f t="shared" si="26"/>
        <v>0</v>
      </c>
      <c r="T76" s="384">
        <f t="shared" si="27"/>
        <v>3.2</v>
      </c>
    </row>
    <row r="77" spans="2:20" ht="13.5" thickBot="1" x14ac:dyDescent="0.45">
      <c r="B77" s="670" t="s">
        <v>155</v>
      </c>
      <c r="C77" s="671"/>
      <c r="D77" s="671"/>
      <c r="E77" s="671"/>
      <c r="F77" s="671"/>
      <c r="G77" s="671"/>
      <c r="H77" s="671"/>
      <c r="I77" s="671"/>
      <c r="J77" s="671"/>
      <c r="K77" s="671"/>
      <c r="L77" s="671"/>
      <c r="M77" s="671"/>
      <c r="N77" s="671"/>
      <c r="O77" s="672"/>
      <c r="S77" s="28"/>
      <c r="T77" s="28"/>
    </row>
    <row r="78" spans="2:20" ht="13.15" x14ac:dyDescent="0.4">
      <c r="B78" s="22" t="s">
        <v>52</v>
      </c>
      <c r="C78" s="21">
        <v>1</v>
      </c>
      <c r="D78" s="21">
        <v>2</v>
      </c>
      <c r="E78" s="21">
        <v>3</v>
      </c>
      <c r="F78" s="21">
        <v>4</v>
      </c>
      <c r="G78" s="21">
        <v>5</v>
      </c>
      <c r="H78" s="21">
        <v>6</v>
      </c>
      <c r="I78" s="21">
        <v>7</v>
      </c>
      <c r="J78" s="21">
        <v>8</v>
      </c>
      <c r="K78" s="21">
        <v>9</v>
      </c>
      <c r="L78" s="21">
        <v>10</v>
      </c>
      <c r="M78" s="21">
        <v>11</v>
      </c>
      <c r="N78" s="21">
        <v>12</v>
      </c>
      <c r="O78" s="20" t="s">
        <v>50</v>
      </c>
    </row>
    <row r="79" spans="2:20" x14ac:dyDescent="0.35">
      <c r="B79" s="185" t="s">
        <v>156</v>
      </c>
      <c r="C79" s="186"/>
      <c r="D79" s="186"/>
      <c r="E79" s="186"/>
      <c r="F79" s="186"/>
      <c r="G79" s="186"/>
      <c r="H79" s="186"/>
      <c r="I79" s="186"/>
      <c r="J79" s="186"/>
      <c r="K79" s="186"/>
      <c r="L79" s="186"/>
      <c r="M79" s="186"/>
      <c r="N79" s="186"/>
      <c r="O79" s="186"/>
    </row>
    <row r="80" spans="2:20" x14ac:dyDescent="0.35">
      <c r="B80" s="185" t="s">
        <v>157</v>
      </c>
      <c r="C80" s="424">
        <f>+Costos!$G$30</f>
        <v>2890.833333333333</v>
      </c>
      <c r="D80" s="424">
        <f>+Costos!$G$30</f>
        <v>2890.833333333333</v>
      </c>
      <c r="E80" s="424">
        <f>+Costos!$G$30</f>
        <v>2890.833333333333</v>
      </c>
      <c r="F80" s="424">
        <f>+Costos!$G$30</f>
        <v>2890.833333333333</v>
      </c>
      <c r="G80" s="424">
        <f>+Costos!$G$30</f>
        <v>2890.833333333333</v>
      </c>
      <c r="H80" s="424">
        <f>+Costos!$G$30</f>
        <v>2890.833333333333</v>
      </c>
      <c r="I80" s="424">
        <f>+Costos!$G$30</f>
        <v>2890.833333333333</v>
      </c>
      <c r="J80" s="424">
        <f>+Costos!$G$30</f>
        <v>2890.833333333333</v>
      </c>
      <c r="K80" s="424">
        <f>+Costos!$G$30</f>
        <v>2890.833333333333</v>
      </c>
      <c r="L80" s="424">
        <f>+Costos!$G$30</f>
        <v>2890.833333333333</v>
      </c>
      <c r="M80" s="424">
        <f>+Costos!$G$30</f>
        <v>2890.833333333333</v>
      </c>
      <c r="N80" s="424">
        <f>+Costos!$G$30</f>
        <v>2890.833333333333</v>
      </c>
      <c r="O80" s="186">
        <f>SUM(C80:N80)</f>
        <v>34689.999999999993</v>
      </c>
    </row>
    <row r="81" spans="2:20" x14ac:dyDescent="0.35">
      <c r="B81" s="185" t="s">
        <v>158</v>
      </c>
      <c r="C81" s="186">
        <f>+C69*$T70+C70*$T71+C71*$T72+C72*$T73+C73*$T74+C74*$T75</f>
        <v>0</v>
      </c>
      <c r="D81" s="186">
        <f t="shared" ref="D81:N81" si="29">+D69*$T70+D70*$T71+D71*$T72+D72*$T73+D73*$T74+D74*$T75</f>
        <v>0</v>
      </c>
      <c r="E81" s="186">
        <f t="shared" si="29"/>
        <v>0</v>
      </c>
      <c r="F81" s="186">
        <f t="shared" si="29"/>
        <v>0</v>
      </c>
      <c r="G81" s="186">
        <f t="shared" si="29"/>
        <v>0</v>
      </c>
      <c r="H81" s="186">
        <f t="shared" si="29"/>
        <v>0</v>
      </c>
      <c r="I81" s="186">
        <f t="shared" si="29"/>
        <v>0</v>
      </c>
      <c r="J81" s="186">
        <f t="shared" si="29"/>
        <v>0</v>
      </c>
      <c r="K81" s="186">
        <f t="shared" si="29"/>
        <v>0</v>
      </c>
      <c r="L81" s="186">
        <f t="shared" si="29"/>
        <v>0</v>
      </c>
      <c r="M81" s="186">
        <f t="shared" si="29"/>
        <v>0</v>
      </c>
      <c r="N81" s="186">
        <f t="shared" si="29"/>
        <v>0</v>
      </c>
      <c r="O81" s="186">
        <f>SUM(C81:N81)</f>
        <v>0</v>
      </c>
    </row>
    <row r="82" spans="2:20" ht="13.15" x14ac:dyDescent="0.4">
      <c r="B82" s="187" t="s">
        <v>63</v>
      </c>
      <c r="C82" s="188">
        <f>SUM(C79:C81)</f>
        <v>2890.833333333333</v>
      </c>
      <c r="D82" s="188">
        <f t="shared" ref="D82:N82" si="30">SUM(D79:D81)</f>
        <v>2890.833333333333</v>
      </c>
      <c r="E82" s="188">
        <f t="shared" si="30"/>
        <v>2890.833333333333</v>
      </c>
      <c r="F82" s="188">
        <f t="shared" si="30"/>
        <v>2890.833333333333</v>
      </c>
      <c r="G82" s="188">
        <f t="shared" si="30"/>
        <v>2890.833333333333</v>
      </c>
      <c r="H82" s="188">
        <f t="shared" si="30"/>
        <v>2890.833333333333</v>
      </c>
      <c r="I82" s="188">
        <f t="shared" si="30"/>
        <v>2890.833333333333</v>
      </c>
      <c r="J82" s="188">
        <f t="shared" si="30"/>
        <v>2890.833333333333</v>
      </c>
      <c r="K82" s="188">
        <f t="shared" si="30"/>
        <v>2890.833333333333</v>
      </c>
      <c r="L82" s="188">
        <f t="shared" si="30"/>
        <v>2890.833333333333</v>
      </c>
      <c r="M82" s="188">
        <f t="shared" si="30"/>
        <v>2890.833333333333</v>
      </c>
      <c r="N82" s="188">
        <f t="shared" si="30"/>
        <v>2890.833333333333</v>
      </c>
      <c r="O82" s="188">
        <f>SUM(O80:O81)</f>
        <v>34689.999999999993</v>
      </c>
    </row>
    <row r="84" spans="2:20" ht="17.649999999999999" x14ac:dyDescent="0.5">
      <c r="B84" s="605" t="s">
        <v>68</v>
      </c>
      <c r="C84" s="605"/>
      <c r="D84" s="605"/>
      <c r="E84" s="605"/>
      <c r="F84" s="605"/>
      <c r="G84" s="605"/>
      <c r="H84" s="605"/>
      <c r="I84" s="605"/>
      <c r="J84" s="605"/>
      <c r="K84" s="605"/>
      <c r="L84" s="605"/>
      <c r="M84" s="605"/>
      <c r="N84" s="605"/>
      <c r="O84" s="605"/>
    </row>
    <row r="85" spans="2:20" ht="13.15" thickBot="1" x14ac:dyDescent="0.4"/>
    <row r="86" spans="2:20" ht="15" x14ac:dyDescent="0.4">
      <c r="B86" s="610" t="s">
        <v>46</v>
      </c>
      <c r="C86" s="611"/>
      <c r="D86" s="611"/>
      <c r="E86" s="611"/>
      <c r="F86" s="611"/>
      <c r="G86" s="611"/>
      <c r="H86" s="611"/>
      <c r="I86" s="611"/>
      <c r="J86" s="611"/>
      <c r="K86" s="611"/>
      <c r="L86" s="611"/>
      <c r="M86" s="611"/>
      <c r="N86" s="611"/>
      <c r="O86" s="612"/>
      <c r="Q86" s="613" t="s">
        <v>47</v>
      </c>
      <c r="R86" s="614"/>
    </row>
    <row r="87" spans="2:20" ht="13.5" thickBot="1" x14ac:dyDescent="0.45">
      <c r="B87" s="26" t="s">
        <v>52</v>
      </c>
      <c r="C87" s="25">
        <v>1</v>
      </c>
      <c r="D87" s="25">
        <v>2</v>
      </c>
      <c r="E87" s="25">
        <v>3</v>
      </c>
      <c r="F87" s="25">
        <v>4</v>
      </c>
      <c r="G87" s="25">
        <v>5</v>
      </c>
      <c r="H87" s="25">
        <v>6</v>
      </c>
      <c r="I87" s="25">
        <v>7</v>
      </c>
      <c r="J87" s="25">
        <v>8</v>
      </c>
      <c r="K87" s="25">
        <v>9</v>
      </c>
      <c r="L87" s="25">
        <v>10</v>
      </c>
      <c r="M87" s="25">
        <v>11</v>
      </c>
      <c r="N87" s="25">
        <v>12</v>
      </c>
      <c r="O87" s="24" t="s">
        <v>50</v>
      </c>
      <c r="P87" s="23"/>
      <c r="Q87" s="608" t="s">
        <v>51</v>
      </c>
      <c r="R87" s="609"/>
    </row>
    <row r="88" spans="2:20" ht="13.15" x14ac:dyDescent="0.4">
      <c r="B88" s="64" t="str">
        <f t="shared" ref="B88:B93" si="31">+B69</f>
        <v>Publicación y Desarrollo de Trabajo completo</v>
      </c>
      <c r="C88" s="405">
        <f>+'Proy Vtas'!C100</f>
        <v>0</v>
      </c>
      <c r="D88" s="405">
        <f>+'Proy Vtas'!D100</f>
        <v>0</v>
      </c>
      <c r="E88" s="405">
        <f>+'Proy Vtas'!E100</f>
        <v>0</v>
      </c>
      <c r="F88" s="405">
        <f>+'Proy Vtas'!F100</f>
        <v>0</v>
      </c>
      <c r="G88" s="405">
        <f>+'Proy Vtas'!G100</f>
        <v>0</v>
      </c>
      <c r="H88" s="405">
        <f>+'Proy Vtas'!H100</f>
        <v>0</v>
      </c>
      <c r="I88" s="405">
        <f>+'Proy Vtas'!I100</f>
        <v>0</v>
      </c>
      <c r="J88" s="405">
        <f>+'Proy Vtas'!J100</f>
        <v>0</v>
      </c>
      <c r="K88" s="405">
        <f>+'Proy Vtas'!K100</f>
        <v>0</v>
      </c>
      <c r="L88" s="405">
        <f>+'Proy Vtas'!L100</f>
        <v>0</v>
      </c>
      <c r="M88" s="405">
        <f>+'Proy Vtas'!M100</f>
        <v>0</v>
      </c>
      <c r="N88" s="405">
        <f>+'Proy Vtas'!N100</f>
        <v>0</v>
      </c>
      <c r="O88" s="369">
        <f>SUM(C88:N88)</f>
        <v>0</v>
      </c>
      <c r="Q88" s="22" t="s">
        <v>52</v>
      </c>
      <c r="R88" s="20" t="s">
        <v>153</v>
      </c>
      <c r="S88" s="20" t="s">
        <v>148</v>
      </c>
      <c r="T88" s="20" t="s">
        <v>141</v>
      </c>
    </row>
    <row r="89" spans="2:20" ht="13.15" x14ac:dyDescent="0.4">
      <c r="B89" s="64" t="str">
        <f t="shared" si="31"/>
        <v>Denuncias o solicitudes de reembolso</v>
      </c>
      <c r="C89" s="405">
        <f>+'Proy Vtas'!C101</f>
        <v>0</v>
      </c>
      <c r="D89" s="405">
        <f>+'Proy Vtas'!D101</f>
        <v>0</v>
      </c>
      <c r="E89" s="405">
        <f>+'Proy Vtas'!E101</f>
        <v>0</v>
      </c>
      <c r="F89" s="405">
        <f>+'Proy Vtas'!F101</f>
        <v>0</v>
      </c>
      <c r="G89" s="405">
        <f>+'Proy Vtas'!G101</f>
        <v>0</v>
      </c>
      <c r="H89" s="405">
        <f>+'Proy Vtas'!H101</f>
        <v>0</v>
      </c>
      <c r="I89" s="405">
        <f>+'Proy Vtas'!I101</f>
        <v>0</v>
      </c>
      <c r="J89" s="405">
        <f>+'Proy Vtas'!J101</f>
        <v>0</v>
      </c>
      <c r="K89" s="405">
        <f>+'Proy Vtas'!K101</f>
        <v>0</v>
      </c>
      <c r="L89" s="405">
        <f>+'Proy Vtas'!L101</f>
        <v>0</v>
      </c>
      <c r="M89" s="405">
        <f>+'Proy Vtas'!M101</f>
        <v>0</v>
      </c>
      <c r="N89" s="405">
        <f>+'Proy Vtas'!N101</f>
        <v>0</v>
      </c>
      <c r="O89" s="369">
        <f t="shared" ref="O89:O92" si="32">SUM(C89:N89)</f>
        <v>0</v>
      </c>
      <c r="Q89" s="19" t="str">
        <f t="shared" ref="Q89:Q94" si="33">+Q70</f>
        <v>Producto1</v>
      </c>
      <c r="R89" s="149">
        <f>+S89+T89</f>
        <v>0</v>
      </c>
      <c r="S89" s="149">
        <f>+S70</f>
        <v>0</v>
      </c>
      <c r="T89" s="149">
        <f>+T70</f>
        <v>0</v>
      </c>
    </row>
    <row r="90" spans="2:20" ht="13.15" x14ac:dyDescent="0.4">
      <c r="B90" s="64" t="str">
        <f t="shared" si="31"/>
        <v>Ventas de examenes resueltos</v>
      </c>
      <c r="C90" s="405">
        <f>+'Proy Vtas'!C102</f>
        <v>0</v>
      </c>
      <c r="D90" s="405">
        <f>+'Proy Vtas'!D102</f>
        <v>0</v>
      </c>
      <c r="E90" s="405">
        <f>+'Proy Vtas'!E102</f>
        <v>0</v>
      </c>
      <c r="F90" s="405">
        <f>+'Proy Vtas'!F102</f>
        <v>0</v>
      </c>
      <c r="G90" s="405">
        <f>+'Proy Vtas'!G102</f>
        <v>0</v>
      </c>
      <c r="H90" s="405">
        <f>+'Proy Vtas'!H102</f>
        <v>0</v>
      </c>
      <c r="I90" s="405">
        <f>+'Proy Vtas'!I102</f>
        <v>0</v>
      </c>
      <c r="J90" s="405">
        <f>+'Proy Vtas'!J102</f>
        <v>0</v>
      </c>
      <c r="K90" s="405">
        <f>+'Proy Vtas'!K102</f>
        <v>0</v>
      </c>
      <c r="L90" s="405">
        <f>+'Proy Vtas'!L102</f>
        <v>0</v>
      </c>
      <c r="M90" s="405">
        <f>+'Proy Vtas'!M102</f>
        <v>0</v>
      </c>
      <c r="N90" s="405">
        <f>+'Proy Vtas'!N102</f>
        <v>0</v>
      </c>
      <c r="O90" s="369">
        <f t="shared" si="32"/>
        <v>0</v>
      </c>
      <c r="Q90" s="19" t="str">
        <f t="shared" si="33"/>
        <v>Producto2</v>
      </c>
      <c r="R90" s="149">
        <f t="shared" ref="R90:R95" si="34">+S90+T90</f>
        <v>0</v>
      </c>
      <c r="S90" s="149">
        <f>+S71</f>
        <v>0</v>
      </c>
      <c r="T90" s="149">
        <f>+T71</f>
        <v>0</v>
      </c>
    </row>
    <row r="91" spans="2:20" ht="13.15" x14ac:dyDescent="0.4">
      <c r="B91" s="64">
        <f t="shared" si="31"/>
        <v>0</v>
      </c>
      <c r="C91" s="405">
        <f>+'Proy Vtas'!C103</f>
        <v>0</v>
      </c>
      <c r="D91" s="405">
        <f>+'Proy Vtas'!D103</f>
        <v>0</v>
      </c>
      <c r="E91" s="405">
        <f>+'Proy Vtas'!E103</f>
        <v>0</v>
      </c>
      <c r="F91" s="405">
        <f>+'Proy Vtas'!F103</f>
        <v>0</v>
      </c>
      <c r="G91" s="405">
        <f>+'Proy Vtas'!G103</f>
        <v>0</v>
      </c>
      <c r="H91" s="405">
        <f>+'Proy Vtas'!H103</f>
        <v>0</v>
      </c>
      <c r="I91" s="405">
        <f>+'Proy Vtas'!I103</f>
        <v>0</v>
      </c>
      <c r="J91" s="405">
        <f>+'Proy Vtas'!J103</f>
        <v>0</v>
      </c>
      <c r="K91" s="405">
        <f>+'Proy Vtas'!K103</f>
        <v>0</v>
      </c>
      <c r="L91" s="405">
        <f>+'Proy Vtas'!L103</f>
        <v>0</v>
      </c>
      <c r="M91" s="405">
        <f>+'Proy Vtas'!M103</f>
        <v>0</v>
      </c>
      <c r="N91" s="405">
        <f>+'Proy Vtas'!N103</f>
        <v>0</v>
      </c>
      <c r="O91" s="369">
        <f t="shared" si="32"/>
        <v>0</v>
      </c>
      <c r="Q91" s="19" t="str">
        <f t="shared" si="33"/>
        <v>Producto3</v>
      </c>
      <c r="R91" s="149">
        <f t="shared" si="34"/>
        <v>3.2</v>
      </c>
      <c r="S91" s="149">
        <f t="shared" ref="S91:T95" si="35">+S72</f>
        <v>0</v>
      </c>
      <c r="T91" s="149">
        <f t="shared" si="35"/>
        <v>3.2</v>
      </c>
    </row>
    <row r="92" spans="2:20" ht="13.15" x14ac:dyDescent="0.4">
      <c r="B92" s="64">
        <f t="shared" si="31"/>
        <v>0</v>
      </c>
      <c r="C92" s="405">
        <f>+'Proy Vtas'!C104</f>
        <v>0</v>
      </c>
      <c r="D92" s="405">
        <f>+'Proy Vtas'!D104</f>
        <v>0</v>
      </c>
      <c r="E92" s="405">
        <f>+'Proy Vtas'!E104</f>
        <v>0</v>
      </c>
      <c r="F92" s="405">
        <f>+'Proy Vtas'!F104</f>
        <v>0</v>
      </c>
      <c r="G92" s="405">
        <f>+'Proy Vtas'!G104</f>
        <v>0</v>
      </c>
      <c r="H92" s="405">
        <f>+'Proy Vtas'!H104</f>
        <v>0</v>
      </c>
      <c r="I92" s="405">
        <f>+'Proy Vtas'!I104</f>
        <v>0</v>
      </c>
      <c r="J92" s="405">
        <f>+'Proy Vtas'!J104</f>
        <v>0</v>
      </c>
      <c r="K92" s="405">
        <f>+'Proy Vtas'!K104</f>
        <v>0</v>
      </c>
      <c r="L92" s="405">
        <f>+'Proy Vtas'!L104</f>
        <v>0</v>
      </c>
      <c r="M92" s="405">
        <f>+'Proy Vtas'!M104</f>
        <v>0</v>
      </c>
      <c r="N92" s="405">
        <f>+'Proy Vtas'!N104</f>
        <v>0</v>
      </c>
      <c r="O92" s="369">
        <f t="shared" si="32"/>
        <v>0</v>
      </c>
      <c r="Q92" s="19">
        <f t="shared" si="33"/>
        <v>0</v>
      </c>
      <c r="R92" s="149">
        <f t="shared" si="34"/>
        <v>0</v>
      </c>
      <c r="S92" s="149">
        <f t="shared" si="35"/>
        <v>0</v>
      </c>
      <c r="T92" s="149">
        <f t="shared" si="35"/>
        <v>0</v>
      </c>
    </row>
    <row r="93" spans="2:20" ht="13.15" x14ac:dyDescent="0.4">
      <c r="B93" s="64">
        <f t="shared" si="31"/>
        <v>0</v>
      </c>
      <c r="C93" s="405">
        <f>+'Proy Vtas'!C105</f>
        <v>0</v>
      </c>
      <c r="D93" s="405">
        <f>+'Proy Vtas'!D105</f>
        <v>0</v>
      </c>
      <c r="E93" s="405">
        <f>+'Proy Vtas'!E105</f>
        <v>0</v>
      </c>
      <c r="F93" s="405">
        <f>+'Proy Vtas'!F105</f>
        <v>0</v>
      </c>
      <c r="G93" s="405">
        <f>+'Proy Vtas'!G105</f>
        <v>0</v>
      </c>
      <c r="H93" s="405">
        <f>+'Proy Vtas'!H105</f>
        <v>0</v>
      </c>
      <c r="I93" s="405">
        <f>+'Proy Vtas'!I105</f>
        <v>0</v>
      </c>
      <c r="J93" s="405">
        <f>+'Proy Vtas'!J105</f>
        <v>0</v>
      </c>
      <c r="K93" s="405">
        <f>+'Proy Vtas'!K105</f>
        <v>0</v>
      </c>
      <c r="L93" s="405">
        <f>+'Proy Vtas'!L105</f>
        <v>0</v>
      </c>
      <c r="M93" s="405">
        <f>+'Proy Vtas'!M105</f>
        <v>0</v>
      </c>
      <c r="N93" s="405">
        <f>+'Proy Vtas'!N105</f>
        <v>0</v>
      </c>
      <c r="O93" s="369">
        <f>SUM(C93:N93)</f>
        <v>0</v>
      </c>
      <c r="Q93" s="19">
        <f t="shared" si="33"/>
        <v>0</v>
      </c>
      <c r="R93" s="149">
        <f t="shared" si="34"/>
        <v>0</v>
      </c>
      <c r="S93" s="149">
        <f t="shared" si="35"/>
        <v>0</v>
      </c>
      <c r="T93" s="149">
        <f t="shared" si="35"/>
        <v>0</v>
      </c>
    </row>
    <row r="94" spans="2:20" ht="13.15" x14ac:dyDescent="0.4">
      <c r="B94" s="396" t="s">
        <v>50</v>
      </c>
      <c r="C94" s="406">
        <f>SUM(C88:C93)</f>
        <v>0</v>
      </c>
      <c r="D94" s="406">
        <f t="shared" ref="D94:N94" si="36">SUM(D88:D93)</f>
        <v>0</v>
      </c>
      <c r="E94" s="406">
        <f t="shared" si="36"/>
        <v>0</v>
      </c>
      <c r="F94" s="406">
        <f t="shared" si="36"/>
        <v>0</v>
      </c>
      <c r="G94" s="406">
        <f t="shared" si="36"/>
        <v>0</v>
      </c>
      <c r="H94" s="406">
        <f t="shared" si="36"/>
        <v>0</v>
      </c>
      <c r="I94" s="406">
        <f t="shared" si="36"/>
        <v>0</v>
      </c>
      <c r="J94" s="406">
        <f t="shared" si="36"/>
        <v>0</v>
      </c>
      <c r="K94" s="406">
        <f t="shared" si="36"/>
        <v>0</v>
      </c>
      <c r="L94" s="406">
        <f t="shared" si="36"/>
        <v>0</v>
      </c>
      <c r="M94" s="406">
        <f t="shared" si="36"/>
        <v>0</v>
      </c>
      <c r="N94" s="406">
        <f t="shared" si="36"/>
        <v>0</v>
      </c>
      <c r="O94" s="397">
        <f>SUM(O88:O93)</f>
        <v>0</v>
      </c>
      <c r="Q94" s="19">
        <f t="shared" si="33"/>
        <v>0</v>
      </c>
      <c r="R94" s="149">
        <f t="shared" si="34"/>
        <v>0</v>
      </c>
      <c r="S94" s="149">
        <f t="shared" si="35"/>
        <v>0</v>
      </c>
      <c r="T94" s="149">
        <f t="shared" si="35"/>
        <v>0</v>
      </c>
    </row>
    <row r="95" spans="2:20" x14ac:dyDescent="0.35">
      <c r="Q95" s="19"/>
      <c r="R95" s="384">
        <f t="shared" si="34"/>
        <v>3.2</v>
      </c>
      <c r="S95" s="384">
        <f t="shared" si="35"/>
        <v>0</v>
      </c>
      <c r="T95" s="384">
        <f t="shared" si="35"/>
        <v>3.2</v>
      </c>
    </row>
    <row r="96" spans="2:20" ht="13.5" thickBot="1" x14ac:dyDescent="0.45">
      <c r="B96" s="670" t="s">
        <v>155</v>
      </c>
      <c r="C96" s="671"/>
      <c r="D96" s="671"/>
      <c r="E96" s="671"/>
      <c r="F96" s="671"/>
      <c r="G96" s="671"/>
      <c r="H96" s="671"/>
      <c r="I96" s="671"/>
      <c r="J96" s="671"/>
      <c r="K96" s="671"/>
      <c r="L96" s="671"/>
      <c r="M96" s="671"/>
      <c r="N96" s="671"/>
      <c r="O96" s="672"/>
    </row>
    <row r="97" spans="2:18" ht="13.15" x14ac:dyDescent="0.4">
      <c r="B97" s="22" t="s">
        <v>52</v>
      </c>
      <c r="C97" s="21">
        <v>1</v>
      </c>
      <c r="D97" s="21">
        <v>2</v>
      </c>
      <c r="E97" s="21">
        <v>3</v>
      </c>
      <c r="F97" s="21">
        <v>4</v>
      </c>
      <c r="G97" s="21">
        <v>5</v>
      </c>
      <c r="H97" s="21">
        <v>6</v>
      </c>
      <c r="I97" s="21">
        <v>7</v>
      </c>
      <c r="J97" s="21">
        <v>8</v>
      </c>
      <c r="K97" s="21">
        <v>9</v>
      </c>
      <c r="L97" s="21">
        <v>10</v>
      </c>
      <c r="M97" s="21">
        <v>11</v>
      </c>
      <c r="N97" s="21">
        <v>12</v>
      </c>
      <c r="O97" s="20" t="s">
        <v>50</v>
      </c>
    </row>
    <row r="98" spans="2:18" x14ac:dyDescent="0.35">
      <c r="B98" s="185" t="s">
        <v>156</v>
      </c>
      <c r="C98" s="186"/>
      <c r="D98" s="186"/>
      <c r="E98" s="186"/>
      <c r="F98" s="186"/>
      <c r="G98" s="186"/>
      <c r="H98" s="186"/>
      <c r="I98" s="186"/>
      <c r="J98" s="186"/>
      <c r="K98" s="186"/>
      <c r="L98" s="186"/>
      <c r="M98" s="186"/>
      <c r="N98" s="186"/>
      <c r="O98" s="186"/>
    </row>
    <row r="99" spans="2:18" x14ac:dyDescent="0.35">
      <c r="B99" s="185" t="s">
        <v>157</v>
      </c>
      <c r="C99" s="186">
        <f>+Costos!$G$30</f>
        <v>2890.833333333333</v>
      </c>
      <c r="D99" s="186">
        <f>+Costos!$G$30</f>
        <v>2890.833333333333</v>
      </c>
      <c r="E99" s="186">
        <f>+Costos!$G$30</f>
        <v>2890.833333333333</v>
      </c>
      <c r="F99" s="186">
        <f>+Costos!$G$30</f>
        <v>2890.833333333333</v>
      </c>
      <c r="G99" s="186">
        <f>+Costos!$G$30</f>
        <v>2890.833333333333</v>
      </c>
      <c r="H99" s="186">
        <f>+Costos!$G$30</f>
        <v>2890.833333333333</v>
      </c>
      <c r="I99" s="186">
        <f>+Costos!$G$30</f>
        <v>2890.833333333333</v>
      </c>
      <c r="J99" s="186">
        <f>+Costos!$G$30</f>
        <v>2890.833333333333</v>
      </c>
      <c r="K99" s="186">
        <f>+Costos!$G$30</f>
        <v>2890.833333333333</v>
      </c>
      <c r="L99" s="186">
        <f>+Costos!$G$30</f>
        <v>2890.833333333333</v>
      </c>
      <c r="M99" s="186">
        <f>+Costos!$G$30</f>
        <v>2890.833333333333</v>
      </c>
      <c r="N99" s="186">
        <f>+Costos!$G$30</f>
        <v>2890.833333333333</v>
      </c>
      <c r="O99" s="186">
        <f>SUM(C99:N99)</f>
        <v>34689.999999999993</v>
      </c>
    </row>
    <row r="100" spans="2:18" x14ac:dyDescent="0.35">
      <c r="B100" s="185" t="s">
        <v>158</v>
      </c>
      <c r="C100" s="186">
        <f>+C88*$T89+C89*$T90+C90*$T91+C91*$T92+C92*$T93+C93*$T94</f>
        <v>0</v>
      </c>
      <c r="D100" s="186">
        <f t="shared" ref="D100:N100" si="37">+D88*$T89+D89*$T90+D90*$T91+D91*$T92+D92*$T93+D93*$T94</f>
        <v>0</v>
      </c>
      <c r="E100" s="186">
        <f t="shared" si="37"/>
        <v>0</v>
      </c>
      <c r="F100" s="186">
        <f t="shared" si="37"/>
        <v>0</v>
      </c>
      <c r="G100" s="186">
        <f t="shared" si="37"/>
        <v>0</v>
      </c>
      <c r="H100" s="186">
        <f t="shared" si="37"/>
        <v>0</v>
      </c>
      <c r="I100" s="186">
        <f t="shared" si="37"/>
        <v>0</v>
      </c>
      <c r="J100" s="186">
        <f t="shared" si="37"/>
        <v>0</v>
      </c>
      <c r="K100" s="186">
        <f t="shared" si="37"/>
        <v>0</v>
      </c>
      <c r="L100" s="186">
        <f t="shared" si="37"/>
        <v>0</v>
      </c>
      <c r="M100" s="186">
        <f t="shared" si="37"/>
        <v>0</v>
      </c>
      <c r="N100" s="186">
        <f t="shared" si="37"/>
        <v>0</v>
      </c>
      <c r="O100" s="186">
        <f>SUM(C100:N100)</f>
        <v>0</v>
      </c>
    </row>
    <row r="101" spans="2:18" ht="13.15" x14ac:dyDescent="0.4">
      <c r="B101" s="189" t="s">
        <v>63</v>
      </c>
      <c r="C101" s="188">
        <f>SUM(C98:C100)</f>
        <v>2890.833333333333</v>
      </c>
      <c r="D101" s="188">
        <f t="shared" ref="D101:N101" si="38">SUM(D98:D100)</f>
        <v>2890.833333333333</v>
      </c>
      <c r="E101" s="188">
        <f t="shared" si="38"/>
        <v>2890.833333333333</v>
      </c>
      <c r="F101" s="188">
        <f t="shared" si="38"/>
        <v>2890.833333333333</v>
      </c>
      <c r="G101" s="188">
        <f t="shared" si="38"/>
        <v>2890.833333333333</v>
      </c>
      <c r="H101" s="188">
        <f t="shared" si="38"/>
        <v>2890.833333333333</v>
      </c>
      <c r="I101" s="188">
        <f t="shared" si="38"/>
        <v>2890.833333333333</v>
      </c>
      <c r="J101" s="188">
        <f t="shared" si="38"/>
        <v>2890.833333333333</v>
      </c>
      <c r="K101" s="188">
        <f t="shared" si="38"/>
        <v>2890.833333333333</v>
      </c>
      <c r="L101" s="188">
        <f t="shared" si="38"/>
        <v>2890.833333333333</v>
      </c>
      <c r="M101" s="188">
        <f t="shared" si="38"/>
        <v>2890.833333333333</v>
      </c>
      <c r="N101" s="188">
        <f t="shared" si="38"/>
        <v>2890.833333333333</v>
      </c>
      <c r="O101" s="188">
        <f>SUM(O99:O100)</f>
        <v>34689.999999999993</v>
      </c>
    </row>
    <row r="102" spans="2:18" ht="27" customHeight="1" x14ac:dyDescent="0.35"/>
    <row r="103" spans="2:18" ht="20.65" x14ac:dyDescent="0.6">
      <c r="B103" s="620" t="s">
        <v>159</v>
      </c>
      <c r="C103" s="620"/>
      <c r="D103" s="620"/>
      <c r="E103" s="620"/>
      <c r="F103" s="620"/>
      <c r="G103" s="620"/>
      <c r="H103" s="27"/>
      <c r="I103" s="27"/>
      <c r="J103" s="27"/>
      <c r="K103" s="27"/>
      <c r="L103" s="27"/>
      <c r="M103" s="27"/>
      <c r="N103" s="27"/>
      <c r="O103" s="27"/>
      <c r="Q103" s="94"/>
      <c r="R103" s="94"/>
    </row>
    <row r="104" spans="2:18" ht="13.15" thickBot="1" x14ac:dyDescent="0.4">
      <c r="H104" s="94"/>
      <c r="I104" s="94"/>
      <c r="J104" s="94"/>
      <c r="K104" s="94"/>
      <c r="L104" s="94"/>
      <c r="M104" s="94"/>
      <c r="N104" s="94"/>
      <c r="O104" s="94"/>
      <c r="Q104" s="94"/>
      <c r="R104" s="147"/>
    </row>
    <row r="105" spans="2:18" ht="13.5" thickBot="1" x14ac:dyDescent="0.45">
      <c r="B105" s="96" t="s">
        <v>155</v>
      </c>
      <c r="C105" s="97"/>
      <c r="D105" s="97"/>
      <c r="E105" s="97"/>
      <c r="F105" s="97"/>
      <c r="G105" s="98"/>
      <c r="H105" s="91"/>
      <c r="I105" s="91"/>
      <c r="J105" s="91"/>
      <c r="K105" s="91"/>
      <c r="L105" s="91"/>
      <c r="M105" s="91"/>
      <c r="N105" s="91"/>
      <c r="O105" s="91"/>
      <c r="Q105" s="94"/>
      <c r="R105" s="94"/>
    </row>
    <row r="106" spans="2:18" ht="13.15" x14ac:dyDescent="0.4">
      <c r="B106" s="22" t="s">
        <v>52</v>
      </c>
      <c r="C106" s="21">
        <v>1</v>
      </c>
      <c r="D106" s="21">
        <v>2</v>
      </c>
      <c r="E106" s="21">
        <v>3</v>
      </c>
      <c r="F106" s="21">
        <v>4</v>
      </c>
      <c r="G106" s="20">
        <v>5</v>
      </c>
      <c r="H106" s="92"/>
      <c r="I106" s="92"/>
      <c r="J106" s="92"/>
      <c r="K106" s="92"/>
      <c r="L106" s="92"/>
      <c r="M106" s="92"/>
      <c r="N106" s="92"/>
      <c r="O106" s="92"/>
      <c r="Q106" s="94"/>
      <c r="R106" s="94"/>
    </row>
    <row r="107" spans="2:18" x14ac:dyDescent="0.35">
      <c r="B107" s="185" t="s">
        <v>156</v>
      </c>
      <c r="C107" s="186"/>
      <c r="D107" s="186"/>
      <c r="E107" s="186"/>
      <c r="F107" s="186"/>
      <c r="G107" s="190"/>
      <c r="H107" s="95"/>
      <c r="I107" s="95"/>
      <c r="J107" s="95"/>
      <c r="K107" s="95"/>
      <c r="L107" s="95"/>
      <c r="M107" s="95"/>
      <c r="N107" s="95"/>
      <c r="O107" s="95"/>
    </row>
    <row r="108" spans="2:18" x14ac:dyDescent="0.35">
      <c r="B108" s="185" t="s">
        <v>157</v>
      </c>
      <c r="C108" s="186">
        <f>+O22</f>
        <v>34689.999999999993</v>
      </c>
      <c r="D108" s="186">
        <f>+O42</f>
        <v>34689.999999999993</v>
      </c>
      <c r="E108" s="186">
        <f>+O61</f>
        <v>34689.999999999993</v>
      </c>
      <c r="F108" s="186">
        <f>+O80</f>
        <v>34689.999999999993</v>
      </c>
      <c r="G108" s="190">
        <f>+O99</f>
        <v>34689.999999999993</v>
      </c>
      <c r="H108" s="94"/>
      <c r="I108" s="94"/>
      <c r="J108" s="94"/>
      <c r="K108" s="94"/>
      <c r="L108" s="94"/>
      <c r="M108" s="94"/>
      <c r="N108" s="94"/>
      <c r="O108" s="94"/>
    </row>
    <row r="109" spans="2:18" x14ac:dyDescent="0.35">
      <c r="B109" s="185" t="s">
        <v>158</v>
      </c>
      <c r="C109" s="186">
        <f>+O23</f>
        <v>0</v>
      </c>
      <c r="D109" s="186">
        <f>+O43</f>
        <v>0</v>
      </c>
      <c r="E109" s="186">
        <f>+O62</f>
        <v>0</v>
      </c>
      <c r="F109" s="186">
        <f>+O81</f>
        <v>0</v>
      </c>
      <c r="G109" s="190">
        <f>+O100</f>
        <v>0</v>
      </c>
    </row>
    <row r="110" spans="2:18" ht="16.5" customHeight="1" thickBot="1" x14ac:dyDescent="0.4">
      <c r="B110" s="319" t="s">
        <v>63</v>
      </c>
      <c r="C110" s="320">
        <f>SUM(C107:C109)</f>
        <v>34689.999999999993</v>
      </c>
      <c r="D110" s="320">
        <f>SUM(D107:D109)</f>
        <v>34689.999999999993</v>
      </c>
      <c r="E110" s="320">
        <f>SUM(E107:E109)</f>
        <v>34689.999999999993</v>
      </c>
      <c r="F110" s="320">
        <f>SUM(F107:F109)</f>
        <v>34689.999999999993</v>
      </c>
      <c r="G110" s="321">
        <f>SUM(G107:G109)</f>
        <v>34689.999999999993</v>
      </c>
    </row>
    <row r="114" spans="3:7" x14ac:dyDescent="0.35">
      <c r="C114" s="172"/>
      <c r="D114" s="172"/>
      <c r="E114" s="172"/>
      <c r="F114" s="172"/>
      <c r="G114" s="172"/>
    </row>
    <row r="115" spans="3:7" x14ac:dyDescent="0.35">
      <c r="C115" s="172"/>
      <c r="D115" s="172"/>
      <c r="E115" s="172"/>
      <c r="F115" s="172"/>
      <c r="G115" s="172"/>
    </row>
    <row r="116" spans="3:7" x14ac:dyDescent="0.35">
      <c r="C116" s="172"/>
      <c r="D116" s="172"/>
      <c r="E116" s="172"/>
      <c r="F116" s="172"/>
      <c r="G116" s="172"/>
    </row>
  </sheetData>
  <sheetProtection insertRows="0" autoFilter="0"/>
  <mergeCells count="26">
    <mergeCell ref="Q10:R10"/>
    <mergeCell ref="B19:O19"/>
    <mergeCell ref="B77:O77"/>
    <mergeCell ref="B84:O84"/>
    <mergeCell ref="B26:O26"/>
    <mergeCell ref="B7:O7"/>
    <mergeCell ref="B9:O9"/>
    <mergeCell ref="Q68:R68"/>
    <mergeCell ref="B28:O28"/>
    <mergeCell ref="Q28:R28"/>
    <mergeCell ref="Q29:R29"/>
    <mergeCell ref="B39:O39"/>
    <mergeCell ref="B46:O46"/>
    <mergeCell ref="B48:O48"/>
    <mergeCell ref="Q48:R48"/>
    <mergeCell ref="Q49:R49"/>
    <mergeCell ref="B58:O58"/>
    <mergeCell ref="B65:O65"/>
    <mergeCell ref="B67:O67"/>
    <mergeCell ref="Q67:R67"/>
    <mergeCell ref="Q9:R9"/>
    <mergeCell ref="B86:O86"/>
    <mergeCell ref="Q86:R86"/>
    <mergeCell ref="Q87:R87"/>
    <mergeCell ref="B96:O96"/>
    <mergeCell ref="B103:G103"/>
  </mergeCells>
  <dataValidations count="1">
    <dataValidation type="textLength" allowBlank="1" showInputMessage="1" showErrorMessage="1" sqref="B50:B56 B69:B75 B30:B36 D11:N16 B88:B94 B11:C17 D17:O17" xr:uid="{00000000-0002-0000-0600-000000000000}">
      <formula1>1</formula1>
      <formula2>50</formula2>
    </dataValidation>
  </dataValidations>
  <pageMargins left="0.59055118110236227" right="0.59055118110236227" top="1.1811023622047245" bottom="1.1811023622047245" header="0" footer="0"/>
  <pageSetup paperSize="9" scale="93" orientation="landscape" horizontalDpi="360" verticalDpi="360" r:id="rId1"/>
  <headerFooter alignWithMargins="0">
    <oddFooter>&amp;C
SYSA Cultura Emprendedora
Proyección de Ventas - Plan de Negocio
www.culturaemprendedora.com</oddFooter>
  </headerFooter>
  <ignoredErrors>
    <ignoredError sqref="C11 C30" unlocked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B1:R87"/>
  <sheetViews>
    <sheetView showGridLines="0" topLeftCell="A65" workbookViewId="0">
      <selection activeCell="I14" sqref="I14"/>
    </sheetView>
  </sheetViews>
  <sheetFormatPr baseColWidth="10" defaultColWidth="11.46484375" defaultRowHeight="12.75" x14ac:dyDescent="0.35"/>
  <cols>
    <col min="1" max="1" width="6.1328125" style="2" customWidth="1"/>
    <col min="2" max="2" width="17.1328125" style="2" customWidth="1"/>
    <col min="3" max="3" width="3.6640625" style="2" customWidth="1"/>
    <col min="4" max="5" width="11.46484375" style="2"/>
    <col min="6" max="6" width="3" style="2" customWidth="1"/>
    <col min="7" max="7" width="11.46484375" style="2"/>
    <col min="8" max="8" width="7.6640625" style="2" customWidth="1"/>
    <col min="9" max="16384" width="11.46484375" style="2"/>
  </cols>
  <sheetData>
    <row r="1" spans="2:18" ht="22.5" x14ac:dyDescent="0.6">
      <c r="B1" s="7"/>
      <c r="C1" s="6"/>
      <c r="D1" s="311"/>
      <c r="E1" s="6"/>
      <c r="F1" s="6"/>
      <c r="G1" s="6"/>
      <c r="H1" s="6"/>
      <c r="I1" s="6"/>
      <c r="J1" s="6"/>
      <c r="K1" s="6"/>
      <c r="L1" s="6"/>
      <c r="M1" s="6"/>
      <c r="N1" s="6"/>
      <c r="O1" s="6"/>
    </row>
    <row r="2" spans="2:18" ht="43.5" customHeight="1" x14ac:dyDescent="0.6">
      <c r="B2" s="676" t="s">
        <v>160</v>
      </c>
      <c r="C2" s="676"/>
      <c r="D2" s="676"/>
      <c r="E2" s="676"/>
      <c r="F2" s="676"/>
      <c r="G2" s="676"/>
      <c r="H2" s="676"/>
      <c r="I2" s="676"/>
      <c r="J2" s="6"/>
      <c r="K2" s="6"/>
      <c r="L2" s="6"/>
      <c r="M2" s="6"/>
      <c r="N2" s="6"/>
      <c r="O2" s="6"/>
    </row>
    <row r="3" spans="2:18" ht="21" customHeight="1" x14ac:dyDescent="0.6">
      <c r="B3" s="492"/>
      <c r="C3" s="492"/>
      <c r="D3" s="492"/>
      <c r="E3" s="492"/>
      <c r="F3" s="492"/>
      <c r="G3" s="492"/>
      <c r="H3" s="492"/>
      <c r="I3" s="492"/>
      <c r="J3" s="6"/>
      <c r="K3" s="6"/>
      <c r="L3" s="6"/>
      <c r="M3" s="6"/>
      <c r="N3" s="6"/>
      <c r="O3" s="6"/>
    </row>
    <row r="4" spans="2:18" ht="15" x14ac:dyDescent="0.4">
      <c r="B4" s="162" t="str">
        <f>+'Proy Vtas'!B12</f>
        <v>Publicación y Desarrollo de Trabajo completo</v>
      </c>
      <c r="C4" s="8"/>
      <c r="D4" s="8"/>
      <c r="E4" s="8"/>
      <c r="F4" s="8"/>
      <c r="G4" s="8"/>
      <c r="H4" s="8"/>
      <c r="I4" s="8"/>
    </row>
    <row r="5" spans="2:18" ht="13.15" thickBot="1" x14ac:dyDescent="0.4"/>
    <row r="6" spans="2:18" ht="23.25" customHeight="1" thickBot="1" x14ac:dyDescent="0.4">
      <c r="B6" s="673" t="s">
        <v>161</v>
      </c>
      <c r="C6" s="674"/>
      <c r="D6" s="674"/>
      <c r="E6" s="674"/>
      <c r="F6" s="674"/>
      <c r="G6" s="674"/>
      <c r="H6" s="674"/>
      <c r="I6" s="675"/>
    </row>
    <row r="7" spans="2:18" ht="15" x14ac:dyDescent="0.4">
      <c r="B7" s="35"/>
      <c r="C7" s="35"/>
      <c r="D7" s="35"/>
      <c r="E7" s="35"/>
      <c r="F7" s="35"/>
      <c r="G7" s="35"/>
      <c r="H7" s="35"/>
    </row>
    <row r="8" spans="2:18" ht="15" x14ac:dyDescent="0.4">
      <c r="B8" s="35" t="s">
        <v>150</v>
      </c>
      <c r="C8" s="35"/>
      <c r="D8" s="35"/>
      <c r="E8" s="35"/>
      <c r="F8" s="35"/>
      <c r="G8" s="35"/>
      <c r="H8" s="35"/>
    </row>
    <row r="9" spans="2:18" ht="15" x14ac:dyDescent="0.4">
      <c r="B9" s="2" t="s">
        <v>162</v>
      </c>
      <c r="C9" s="35" t="s">
        <v>163</v>
      </c>
      <c r="D9" s="449">
        <v>60</v>
      </c>
      <c r="E9" s="35" t="s">
        <v>164</v>
      </c>
      <c r="F9" s="35"/>
      <c r="G9" s="35"/>
      <c r="H9" s="35"/>
    </row>
    <row r="10" spans="2:18" ht="15" x14ac:dyDescent="0.4">
      <c r="B10" s="2" t="s">
        <v>153</v>
      </c>
      <c r="C10" s="35" t="s">
        <v>163</v>
      </c>
      <c r="D10" s="28">
        <f>+'Costo Unitario'!E60</f>
        <v>0</v>
      </c>
      <c r="E10" s="35" t="s">
        <v>165</v>
      </c>
      <c r="F10" s="35"/>
      <c r="G10" s="35"/>
      <c r="H10" s="35"/>
      <c r="R10" s="448"/>
    </row>
    <row r="11" spans="2:18" ht="15" x14ac:dyDescent="0.4">
      <c r="B11" s="2" t="s">
        <v>166</v>
      </c>
      <c r="C11" s="35" t="s">
        <v>163</v>
      </c>
      <c r="D11" s="452">
        <v>0.05</v>
      </c>
      <c r="E11" s="35" t="s">
        <v>167</v>
      </c>
      <c r="F11" s="35"/>
      <c r="G11" s="35"/>
      <c r="H11" s="35"/>
    </row>
    <row r="12" spans="2:18" ht="15" x14ac:dyDescent="0.4">
      <c r="B12" s="36"/>
      <c r="C12" s="36"/>
      <c r="D12" s="35"/>
      <c r="E12" s="35"/>
      <c r="F12" s="35"/>
      <c r="G12" s="35"/>
      <c r="H12" s="35"/>
    </row>
    <row r="13" spans="2:18" ht="15" x14ac:dyDescent="0.4">
      <c r="B13" s="23" t="s">
        <v>168</v>
      </c>
      <c r="C13" s="36"/>
      <c r="D13" s="450">
        <f>+D10/(1-D11)</f>
        <v>0</v>
      </c>
      <c r="E13" s="35" t="s">
        <v>165</v>
      </c>
      <c r="G13" s="37"/>
      <c r="H13" s="35"/>
    </row>
    <row r="14" spans="2:18" ht="15" x14ac:dyDescent="0.4">
      <c r="B14" s="36" t="s">
        <v>47</v>
      </c>
      <c r="C14" s="36"/>
      <c r="D14" s="365">
        <f>+FCE!I127</f>
        <v>70</v>
      </c>
      <c r="E14" s="35"/>
      <c r="F14" s="35"/>
      <c r="G14" s="35"/>
      <c r="H14" s="35"/>
    </row>
    <row r="15" spans="2:18" ht="15" x14ac:dyDescent="0.4">
      <c r="B15" s="35"/>
      <c r="C15" s="35"/>
    </row>
    <row r="16" spans="2:18" ht="15" x14ac:dyDescent="0.4">
      <c r="B16" s="35"/>
      <c r="C16" s="35"/>
      <c r="M16" s="71"/>
    </row>
    <row r="18" spans="2:15" ht="15" x14ac:dyDescent="0.4">
      <c r="B18" s="35"/>
      <c r="C18" s="35"/>
    </row>
    <row r="19" spans="2:15" ht="15" x14ac:dyDescent="0.4">
      <c r="B19" s="162" t="str">
        <f>+'Proy Vtas'!B13</f>
        <v>Denuncias o solicitudes de reembolso</v>
      </c>
      <c r="C19" s="8"/>
      <c r="D19" s="8"/>
      <c r="E19" s="8"/>
      <c r="F19" s="8"/>
      <c r="G19" s="8"/>
      <c r="H19" s="8"/>
      <c r="I19" s="8"/>
    </row>
    <row r="20" spans="2:15" ht="13.15" thickBot="1" x14ac:dyDescent="0.4"/>
    <row r="21" spans="2:15" ht="15.4" thickBot="1" x14ac:dyDescent="0.4">
      <c r="B21" s="673" t="s">
        <v>161</v>
      </c>
      <c r="C21" s="674"/>
      <c r="D21" s="674"/>
      <c r="E21" s="674"/>
      <c r="F21" s="674"/>
      <c r="G21" s="674"/>
      <c r="H21" s="674"/>
      <c r="I21" s="675"/>
    </row>
    <row r="22" spans="2:15" ht="15.4" thickBot="1" x14ac:dyDescent="0.45">
      <c r="B22" s="35"/>
      <c r="C22" s="35"/>
      <c r="D22" s="35"/>
      <c r="E22" s="35"/>
      <c r="F22" s="35"/>
      <c r="G22" s="35"/>
      <c r="H22" s="35"/>
      <c r="K22" s="83" t="s">
        <v>169</v>
      </c>
      <c r="L22" s="84"/>
      <c r="M22" s="84"/>
      <c r="N22" s="84"/>
      <c r="O22" s="85"/>
    </row>
    <row r="23" spans="2:15" ht="15" x14ac:dyDescent="0.4">
      <c r="B23" s="35" t="s">
        <v>150</v>
      </c>
      <c r="C23" s="35"/>
      <c r="D23" s="35"/>
      <c r="E23" s="35"/>
      <c r="F23" s="35"/>
      <c r="G23" s="35"/>
      <c r="H23" s="35"/>
    </row>
    <row r="24" spans="2:15" ht="15" x14ac:dyDescent="0.4">
      <c r="B24" s="2" t="s">
        <v>162</v>
      </c>
      <c r="C24" s="35" t="s">
        <v>163</v>
      </c>
      <c r="D24" s="451">
        <v>79</v>
      </c>
      <c r="E24" s="35" t="s">
        <v>164</v>
      </c>
      <c r="F24" s="35"/>
      <c r="G24" s="35"/>
      <c r="H24" s="35"/>
    </row>
    <row r="25" spans="2:15" ht="15" x14ac:dyDescent="0.4">
      <c r="B25" s="2" t="s">
        <v>153</v>
      </c>
      <c r="C25" s="35" t="s">
        <v>163</v>
      </c>
      <c r="D25" s="28">
        <f>+'Costo Unitario'!L60</f>
        <v>0</v>
      </c>
      <c r="E25" s="35" t="s">
        <v>165</v>
      </c>
      <c r="F25" s="35"/>
      <c r="G25" s="35"/>
      <c r="H25" s="35"/>
    </row>
    <row r="26" spans="2:15" ht="15" x14ac:dyDescent="0.4">
      <c r="B26" s="2" t="s">
        <v>166</v>
      </c>
      <c r="C26" s="35" t="s">
        <v>163</v>
      </c>
      <c r="D26" s="453">
        <v>0.05</v>
      </c>
      <c r="E26" s="35" t="s">
        <v>167</v>
      </c>
      <c r="F26" s="35"/>
      <c r="G26" s="35"/>
      <c r="H26" s="35"/>
    </row>
    <row r="27" spans="2:15" ht="15" x14ac:dyDescent="0.4">
      <c r="B27" s="36"/>
      <c r="C27" s="36"/>
      <c r="D27" s="35"/>
      <c r="E27" s="35"/>
      <c r="F27" s="35"/>
      <c r="G27" s="35"/>
      <c r="H27" s="35"/>
    </row>
    <row r="28" spans="2:15" ht="15" x14ac:dyDescent="0.4">
      <c r="B28" s="23" t="s">
        <v>168</v>
      </c>
      <c r="C28" s="36"/>
      <c r="D28" s="86">
        <f>+D25/(1-D26)</f>
        <v>0</v>
      </c>
      <c r="E28" s="35" t="s">
        <v>165</v>
      </c>
      <c r="G28" s="37"/>
      <c r="H28" s="35"/>
    </row>
    <row r="29" spans="2:15" ht="15" x14ac:dyDescent="0.4">
      <c r="B29" s="36" t="s">
        <v>47</v>
      </c>
      <c r="C29" s="36"/>
      <c r="D29" s="365">
        <v>85</v>
      </c>
      <c r="E29" s="35"/>
      <c r="F29" s="35"/>
      <c r="G29" s="35"/>
      <c r="H29" s="35"/>
    </row>
    <row r="30" spans="2:15" ht="15" x14ac:dyDescent="0.4">
      <c r="B30" s="35"/>
      <c r="C30" s="35"/>
      <c r="L30" s="175"/>
    </row>
    <row r="31" spans="2:15" ht="15" x14ac:dyDescent="0.4">
      <c r="B31" s="35"/>
      <c r="C31" s="35"/>
      <c r="M31" s="71"/>
    </row>
    <row r="34" spans="2:15" ht="15" x14ac:dyDescent="0.4">
      <c r="B34" s="162" t="str">
        <f>+'Proy Vtas'!B14</f>
        <v>Ventas de examenes resueltos</v>
      </c>
      <c r="C34" s="8"/>
      <c r="D34" s="8"/>
      <c r="E34" s="8"/>
      <c r="F34" s="8"/>
      <c r="G34" s="8"/>
      <c r="H34" s="8"/>
      <c r="I34" s="8"/>
    </row>
    <row r="35" spans="2:15" ht="13.15" thickBot="1" x14ac:dyDescent="0.4"/>
    <row r="36" spans="2:15" ht="15.4" thickBot="1" x14ac:dyDescent="0.4">
      <c r="B36" s="673" t="s">
        <v>161</v>
      </c>
      <c r="C36" s="674"/>
      <c r="D36" s="674"/>
      <c r="E36" s="674"/>
      <c r="F36" s="674"/>
      <c r="G36" s="674"/>
      <c r="H36" s="674"/>
      <c r="I36" s="675"/>
    </row>
    <row r="37" spans="2:15" ht="15.4" thickBot="1" x14ac:dyDescent="0.45">
      <c r="B37" s="35"/>
      <c r="C37" s="35"/>
      <c r="D37" s="35"/>
      <c r="E37" s="35"/>
      <c r="F37" s="35"/>
      <c r="G37" s="35"/>
      <c r="H37" s="35"/>
      <c r="K37" s="83" t="s">
        <v>169</v>
      </c>
      <c r="L37" s="84"/>
      <c r="M37" s="84"/>
      <c r="N37" s="84"/>
      <c r="O37" s="85"/>
    </row>
    <row r="38" spans="2:15" ht="15" x14ac:dyDescent="0.4">
      <c r="B38" s="35" t="s">
        <v>150</v>
      </c>
      <c r="C38" s="35"/>
      <c r="D38" s="35"/>
      <c r="E38" s="35"/>
      <c r="F38" s="35"/>
      <c r="G38" s="35"/>
      <c r="H38" s="35"/>
    </row>
    <row r="39" spans="2:15" ht="15" x14ac:dyDescent="0.4">
      <c r="B39" s="2" t="s">
        <v>162</v>
      </c>
      <c r="C39" s="35" t="s">
        <v>163</v>
      </c>
      <c r="D39" s="451">
        <v>97</v>
      </c>
      <c r="E39" s="35" t="s">
        <v>164</v>
      </c>
      <c r="F39" s="35"/>
      <c r="G39" s="35"/>
      <c r="H39" s="35"/>
    </row>
    <row r="40" spans="2:15" ht="15" x14ac:dyDescent="0.4">
      <c r="B40" s="2" t="s">
        <v>153</v>
      </c>
      <c r="C40" s="35" t="s">
        <v>163</v>
      </c>
      <c r="D40" s="28">
        <f>+'Costo Unitario'!S60</f>
        <v>3.2</v>
      </c>
      <c r="E40" s="35" t="s">
        <v>165</v>
      </c>
      <c r="F40" s="35"/>
      <c r="G40" s="35"/>
      <c r="H40" s="35"/>
    </row>
    <row r="41" spans="2:15" ht="15" x14ac:dyDescent="0.4">
      <c r="B41" s="2" t="s">
        <v>166</v>
      </c>
      <c r="C41" s="35" t="s">
        <v>163</v>
      </c>
      <c r="D41" s="453">
        <v>0.05</v>
      </c>
      <c r="E41" s="35" t="s">
        <v>167</v>
      </c>
      <c r="F41" s="35"/>
      <c r="G41" s="35"/>
      <c r="H41" s="35"/>
    </row>
    <row r="42" spans="2:15" ht="15" x14ac:dyDescent="0.4">
      <c r="B42" s="36"/>
      <c r="C42" s="36"/>
      <c r="D42" s="35"/>
      <c r="E42" s="35"/>
      <c r="F42" s="35"/>
      <c r="G42" s="35"/>
      <c r="H42" s="35"/>
    </row>
    <row r="43" spans="2:15" ht="15" x14ac:dyDescent="0.4">
      <c r="B43" s="23" t="s">
        <v>168</v>
      </c>
      <c r="C43" s="36"/>
      <c r="D43" s="86">
        <f>+D40/(1-D41)</f>
        <v>3.3684210526315792</v>
      </c>
      <c r="E43" s="35" t="s">
        <v>165</v>
      </c>
      <c r="G43" s="37"/>
      <c r="H43" s="35"/>
    </row>
    <row r="44" spans="2:15" ht="15" x14ac:dyDescent="0.4">
      <c r="B44" s="36" t="s">
        <v>47</v>
      </c>
      <c r="C44" s="36"/>
      <c r="D44" s="365">
        <v>105</v>
      </c>
      <c r="E44" s="35"/>
      <c r="F44" s="35"/>
      <c r="G44" s="35"/>
      <c r="H44" s="35"/>
    </row>
    <row r="45" spans="2:15" ht="15" x14ac:dyDescent="0.4">
      <c r="B45" s="35"/>
      <c r="C45" s="35"/>
    </row>
    <row r="46" spans="2:15" ht="15" x14ac:dyDescent="0.4">
      <c r="B46" s="35"/>
      <c r="C46" s="35"/>
      <c r="M46" s="71"/>
    </row>
    <row r="47" spans="2:15" ht="15" x14ac:dyDescent="0.4">
      <c r="B47" s="162">
        <f>+'Proy Vtas'!B15</f>
        <v>0</v>
      </c>
      <c r="C47" s="8"/>
      <c r="D47" s="8"/>
      <c r="E47" s="8"/>
      <c r="F47" s="8"/>
      <c r="G47" s="8"/>
      <c r="H47" s="8"/>
      <c r="I47" s="8"/>
    </row>
    <row r="48" spans="2:15" ht="13.15" thickBot="1" x14ac:dyDescent="0.4"/>
    <row r="49" spans="2:15" ht="15.4" thickBot="1" x14ac:dyDescent="0.4">
      <c r="B49" s="673" t="s">
        <v>161</v>
      </c>
      <c r="C49" s="674"/>
      <c r="D49" s="674"/>
      <c r="E49" s="674"/>
      <c r="F49" s="674"/>
      <c r="G49" s="674"/>
      <c r="H49" s="674"/>
      <c r="I49" s="675"/>
    </row>
    <row r="50" spans="2:15" ht="15.4" thickBot="1" x14ac:dyDescent="0.45">
      <c r="B50" s="35"/>
      <c r="C50" s="35"/>
      <c r="D50" s="35"/>
      <c r="E50" s="35"/>
      <c r="F50" s="35"/>
      <c r="G50" s="35"/>
      <c r="H50" s="35"/>
      <c r="K50" s="83" t="s">
        <v>169</v>
      </c>
      <c r="L50" s="84"/>
      <c r="M50" s="84"/>
      <c r="N50" s="84"/>
      <c r="O50" s="85"/>
    </row>
    <row r="51" spans="2:15" ht="15" x14ac:dyDescent="0.4">
      <c r="B51" s="35" t="s">
        <v>150</v>
      </c>
      <c r="C51" s="35"/>
      <c r="D51" s="35"/>
      <c r="E51" s="35"/>
      <c r="F51" s="35"/>
      <c r="G51" s="35"/>
      <c r="H51" s="35"/>
    </row>
    <row r="52" spans="2:15" ht="15" x14ac:dyDescent="0.4">
      <c r="B52" s="2" t="s">
        <v>162</v>
      </c>
      <c r="C52" s="35" t="s">
        <v>163</v>
      </c>
      <c r="D52" s="451"/>
      <c r="E52" s="35" t="s">
        <v>164</v>
      </c>
      <c r="F52" s="35"/>
      <c r="G52" s="35"/>
      <c r="H52" s="35"/>
    </row>
    <row r="53" spans="2:15" ht="15" x14ac:dyDescent="0.4">
      <c r="B53" s="2" t="s">
        <v>153</v>
      </c>
      <c r="C53" s="35" t="s">
        <v>163</v>
      </c>
      <c r="D53" s="178">
        <f>+'Costo Unitario'!Z60</f>
        <v>0</v>
      </c>
      <c r="E53" s="35" t="s">
        <v>165</v>
      </c>
      <c r="F53" s="35"/>
      <c r="G53" s="35"/>
      <c r="H53" s="35"/>
    </row>
    <row r="54" spans="2:15" ht="15" x14ac:dyDescent="0.4">
      <c r="B54" s="2" t="s">
        <v>166</v>
      </c>
      <c r="C54" s="35" t="s">
        <v>163</v>
      </c>
      <c r="D54" s="453"/>
      <c r="E54" s="35" t="s">
        <v>167</v>
      </c>
      <c r="F54" s="35"/>
      <c r="G54" s="35"/>
      <c r="H54" s="35"/>
    </row>
    <row r="55" spans="2:15" ht="15" x14ac:dyDescent="0.4">
      <c r="B55" s="36"/>
      <c r="C55" s="36"/>
      <c r="D55" s="35"/>
      <c r="E55" s="35"/>
      <c r="F55" s="35"/>
      <c r="G55" s="35"/>
      <c r="H55" s="35"/>
    </row>
    <row r="56" spans="2:15" ht="15" x14ac:dyDescent="0.4">
      <c r="B56" s="23" t="s">
        <v>168</v>
      </c>
      <c r="C56" s="36"/>
      <c r="D56" s="86">
        <f>+D53/(1-D54)</f>
        <v>0</v>
      </c>
      <c r="E56" s="35" t="s">
        <v>165</v>
      </c>
      <c r="G56" s="37"/>
      <c r="H56" s="35"/>
    </row>
    <row r="57" spans="2:15" ht="15" x14ac:dyDescent="0.4">
      <c r="B57" s="36" t="s">
        <v>47</v>
      </c>
      <c r="C57" s="36"/>
      <c r="D57" s="365"/>
      <c r="E57" s="35"/>
      <c r="F57" s="35"/>
      <c r="G57" s="35"/>
      <c r="H57" s="35"/>
    </row>
    <row r="58" spans="2:15" ht="15" x14ac:dyDescent="0.4">
      <c r="B58" s="35"/>
      <c r="C58" s="35"/>
    </row>
    <row r="61" spans="2:15" ht="15" x14ac:dyDescent="0.4">
      <c r="B61" s="162">
        <f>+'Proy Vtas'!B16</f>
        <v>0</v>
      </c>
      <c r="C61" s="8"/>
      <c r="D61" s="8"/>
      <c r="E61" s="8"/>
      <c r="F61" s="8"/>
      <c r="G61" s="8"/>
      <c r="H61" s="8"/>
      <c r="I61" s="8"/>
    </row>
    <row r="62" spans="2:15" ht="13.15" thickBot="1" x14ac:dyDescent="0.4"/>
    <row r="63" spans="2:15" ht="15.4" thickBot="1" x14ac:dyDescent="0.4">
      <c r="B63" s="673" t="s">
        <v>161</v>
      </c>
      <c r="C63" s="674"/>
      <c r="D63" s="674"/>
      <c r="E63" s="674"/>
      <c r="F63" s="674"/>
      <c r="G63" s="674"/>
      <c r="H63" s="674"/>
      <c r="I63" s="675"/>
    </row>
    <row r="64" spans="2:15" ht="15.4" thickBot="1" x14ac:dyDescent="0.45">
      <c r="B64" s="35"/>
      <c r="C64" s="35"/>
      <c r="D64" s="35"/>
      <c r="E64" s="35"/>
      <c r="F64" s="35"/>
      <c r="G64" s="35"/>
      <c r="H64" s="35"/>
      <c r="K64" s="83" t="s">
        <v>169</v>
      </c>
      <c r="L64" s="84"/>
      <c r="M64" s="84"/>
      <c r="N64" s="84"/>
      <c r="O64" s="85"/>
    </row>
    <row r="65" spans="2:15" ht="15" x14ac:dyDescent="0.4">
      <c r="B65" s="35" t="s">
        <v>150</v>
      </c>
      <c r="C65" s="35"/>
      <c r="D65" s="35"/>
      <c r="E65" s="35"/>
      <c r="F65" s="35"/>
      <c r="G65" s="35"/>
      <c r="H65" s="35"/>
    </row>
    <row r="66" spans="2:15" ht="15" x14ac:dyDescent="0.4">
      <c r="B66" s="2" t="s">
        <v>162</v>
      </c>
      <c r="C66" s="35" t="s">
        <v>163</v>
      </c>
      <c r="D66" s="451"/>
      <c r="E66" s="35" t="s">
        <v>164</v>
      </c>
      <c r="F66" s="35"/>
      <c r="G66" s="35"/>
      <c r="H66" s="35"/>
    </row>
    <row r="67" spans="2:15" ht="15" x14ac:dyDescent="0.4">
      <c r="B67" s="2" t="s">
        <v>153</v>
      </c>
      <c r="C67" s="35" t="s">
        <v>163</v>
      </c>
      <c r="D67" s="178">
        <f>+'Costo Unitario'!AG60</f>
        <v>0</v>
      </c>
      <c r="E67" s="35" t="s">
        <v>165</v>
      </c>
      <c r="F67" s="35"/>
      <c r="G67" s="35"/>
      <c r="H67" s="35"/>
    </row>
    <row r="68" spans="2:15" ht="15" x14ac:dyDescent="0.4">
      <c r="B68" s="2" t="s">
        <v>166</v>
      </c>
      <c r="C68" s="35" t="s">
        <v>163</v>
      </c>
      <c r="D68" s="453"/>
      <c r="E68" s="35" t="s">
        <v>167</v>
      </c>
      <c r="F68" s="35"/>
      <c r="G68" s="35"/>
      <c r="H68" s="35"/>
    </row>
    <row r="69" spans="2:15" ht="15" x14ac:dyDescent="0.4">
      <c r="B69" s="36"/>
      <c r="C69" s="36"/>
      <c r="D69" s="35"/>
      <c r="E69" s="35"/>
      <c r="F69" s="35"/>
      <c r="G69" s="35"/>
      <c r="H69" s="35"/>
    </row>
    <row r="70" spans="2:15" ht="15" x14ac:dyDescent="0.4">
      <c r="B70" s="23" t="s">
        <v>168</v>
      </c>
      <c r="C70" s="36"/>
      <c r="D70" s="86">
        <f>+D67/(1-D68)</f>
        <v>0</v>
      </c>
      <c r="E70" s="35" t="s">
        <v>165</v>
      </c>
      <c r="G70" s="37"/>
      <c r="H70" s="35"/>
    </row>
    <row r="71" spans="2:15" ht="15" x14ac:dyDescent="0.4">
      <c r="B71" s="36" t="s">
        <v>47</v>
      </c>
      <c r="C71" s="36"/>
      <c r="D71" s="365"/>
      <c r="E71" s="35"/>
      <c r="F71" s="35"/>
      <c r="G71" s="35"/>
      <c r="H71" s="35"/>
    </row>
    <row r="72" spans="2:15" ht="15" x14ac:dyDescent="0.4">
      <c r="B72" s="35"/>
      <c r="C72" s="35"/>
    </row>
    <row r="76" spans="2:15" ht="15" x14ac:dyDescent="0.4">
      <c r="B76" s="162">
        <f>+'Proy Vtas'!B17</f>
        <v>0</v>
      </c>
      <c r="C76" s="8"/>
      <c r="D76" s="8"/>
      <c r="E76" s="8"/>
      <c r="F76" s="8"/>
      <c r="G76" s="8"/>
      <c r="H76" s="8"/>
      <c r="I76" s="8"/>
    </row>
    <row r="77" spans="2:15" ht="13.15" thickBot="1" x14ac:dyDescent="0.4"/>
    <row r="78" spans="2:15" ht="15.4" thickBot="1" x14ac:dyDescent="0.4">
      <c r="B78" s="673" t="s">
        <v>161</v>
      </c>
      <c r="C78" s="674"/>
      <c r="D78" s="674"/>
      <c r="E78" s="674"/>
      <c r="F78" s="674"/>
      <c r="G78" s="674"/>
      <c r="H78" s="674"/>
      <c r="I78" s="675"/>
    </row>
    <row r="79" spans="2:15" ht="15.4" thickBot="1" x14ac:dyDescent="0.45">
      <c r="B79" s="35"/>
      <c r="C79" s="35"/>
      <c r="D79" s="35"/>
      <c r="E79" s="35"/>
      <c r="F79" s="35"/>
      <c r="G79" s="35"/>
      <c r="H79" s="35"/>
      <c r="K79" s="83" t="s">
        <v>169</v>
      </c>
      <c r="L79" s="84"/>
      <c r="M79" s="84"/>
      <c r="N79" s="84"/>
      <c r="O79" s="85"/>
    </row>
    <row r="80" spans="2:15" ht="15" x14ac:dyDescent="0.4">
      <c r="B80" s="35" t="s">
        <v>150</v>
      </c>
      <c r="C80" s="35"/>
      <c r="D80" s="35"/>
      <c r="E80" s="35"/>
      <c r="F80" s="35"/>
      <c r="G80" s="35"/>
      <c r="H80" s="35"/>
    </row>
    <row r="81" spans="2:8" ht="15" x14ac:dyDescent="0.4">
      <c r="B81" s="2" t="s">
        <v>162</v>
      </c>
      <c r="C81" s="35" t="s">
        <v>163</v>
      </c>
      <c r="D81" s="451"/>
      <c r="E81" s="35" t="s">
        <v>164</v>
      </c>
      <c r="F81" s="35"/>
      <c r="G81" s="35"/>
      <c r="H81" s="35"/>
    </row>
    <row r="82" spans="2:8" ht="15" x14ac:dyDescent="0.4">
      <c r="B82" s="2" t="s">
        <v>153</v>
      </c>
      <c r="C82" s="35" t="s">
        <v>163</v>
      </c>
      <c r="D82" s="178">
        <f>+'Costo Unitario'!AN60</f>
        <v>0</v>
      </c>
      <c r="E82" s="35" t="s">
        <v>165</v>
      </c>
      <c r="F82" s="35"/>
      <c r="G82" s="35"/>
      <c r="H82" s="35"/>
    </row>
    <row r="83" spans="2:8" ht="15" x14ac:dyDescent="0.4">
      <c r="B83" s="2" t="s">
        <v>166</v>
      </c>
      <c r="C83" s="35" t="s">
        <v>163</v>
      </c>
      <c r="D83" s="453"/>
      <c r="E83" s="35" t="s">
        <v>167</v>
      </c>
      <c r="F83" s="35"/>
      <c r="G83" s="35"/>
      <c r="H83" s="35"/>
    </row>
    <row r="84" spans="2:8" ht="15" x14ac:dyDescent="0.4">
      <c r="B84" s="36"/>
      <c r="C84" s="36"/>
      <c r="D84" s="35"/>
      <c r="E84" s="35"/>
      <c r="F84" s="35"/>
      <c r="G84" s="35"/>
      <c r="H84" s="35"/>
    </row>
    <row r="85" spans="2:8" ht="15" x14ac:dyDescent="0.4">
      <c r="B85" s="23" t="s">
        <v>168</v>
      </c>
      <c r="C85" s="36"/>
      <c r="D85" s="86">
        <f>+D82/(1-D83)</f>
        <v>0</v>
      </c>
      <c r="E85" s="35" t="s">
        <v>165</v>
      </c>
      <c r="G85" s="37"/>
      <c r="H85" s="35"/>
    </row>
    <row r="86" spans="2:8" ht="15" x14ac:dyDescent="0.4">
      <c r="B86" s="36" t="s">
        <v>47</v>
      </c>
      <c r="C86" s="36"/>
      <c r="D86" s="365"/>
      <c r="E86" s="35"/>
      <c r="F86" s="35"/>
      <c r="G86" s="35"/>
      <c r="H86" s="35"/>
    </row>
    <row r="87" spans="2:8" ht="15" x14ac:dyDescent="0.4">
      <c r="B87" s="35"/>
      <c r="C87" s="35"/>
    </row>
  </sheetData>
  <mergeCells count="7">
    <mergeCell ref="B63:I63"/>
    <mergeCell ref="B78:I78"/>
    <mergeCell ref="B6:I6"/>
    <mergeCell ref="B2:I2"/>
    <mergeCell ref="B21:I21"/>
    <mergeCell ref="B36:I36"/>
    <mergeCell ref="B49:I49"/>
  </mergeCells>
  <pageMargins left="0.75" right="0.75" top="1" bottom="1" header="0" footer="0"/>
  <pageSetup paperSize="9" scale="99" orientation="portrait" horizontalDpi="360" verticalDpi="360" r:id="rId1"/>
  <headerFooter alignWithMargins="0">
    <oddFooter>&amp;CDeterminación de Precio de Venta - Plan de Negocio
SYSA Cultura Emprendedora
www.culturaemprendedora.com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14</vt:i4>
      </vt:variant>
      <vt:variant>
        <vt:lpstr>Rangos con nombre</vt:lpstr>
      </vt:variant>
      <vt:variant>
        <vt:i4>8</vt:i4>
      </vt:variant>
    </vt:vector>
  </HeadingPairs>
  <TitlesOfParts>
    <vt:vector size="22" baseType="lpstr">
      <vt:lpstr>Enunciado</vt:lpstr>
      <vt:lpstr>Proye Deman</vt:lpstr>
      <vt:lpstr>Proy Vtas</vt:lpstr>
      <vt:lpstr>Costos Detalle</vt:lpstr>
      <vt:lpstr>Inversiones</vt:lpstr>
      <vt:lpstr>Costos</vt:lpstr>
      <vt:lpstr>Costo Unitario</vt:lpstr>
      <vt:lpstr>Costos totales</vt:lpstr>
      <vt:lpstr>PVenta</vt:lpstr>
      <vt:lpstr>PEq</vt:lpstr>
      <vt:lpstr>FCE</vt:lpstr>
      <vt:lpstr>Cronogr pag</vt:lpstr>
      <vt:lpstr>PFin</vt:lpstr>
      <vt:lpstr>FCF</vt:lpstr>
      <vt:lpstr>'Costo Unitario'!Área_de_impresión</vt:lpstr>
      <vt:lpstr>'Costos totales'!Área_de_impresión</vt:lpstr>
      <vt:lpstr>FCE!Área_de_impresión</vt:lpstr>
      <vt:lpstr>FCF!Área_de_impresión</vt:lpstr>
      <vt:lpstr>Inversiones!Área_de_impresión</vt:lpstr>
      <vt:lpstr>PFin!Área_de_impresión</vt:lpstr>
      <vt:lpstr>'Proy Vtas'!Área_de_impresión</vt:lpstr>
      <vt:lpstr>PVenta!Área_de_impresión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Vega</dc:creator>
  <cp:lastModifiedBy>Carlos Cacique</cp:lastModifiedBy>
  <cp:revision/>
  <dcterms:created xsi:type="dcterms:W3CDTF">2007-10-18T23:52:36Z</dcterms:created>
  <dcterms:modified xsi:type="dcterms:W3CDTF">2023-03-18T23:30:13Z</dcterms:modified>
</cp:coreProperties>
</file>