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ca24b55da26fc/Desktop/"/>
    </mc:Choice>
  </mc:AlternateContent>
  <xr:revisionPtr revIDLastSave="3" documentId="13_ncr:1_{CA90CA80-AD88-D845-9940-9C7B638F4524}" xr6:coauthVersionLast="47" xr6:coauthVersionMax="47" xr10:uidLastSave="{78C64FBB-51B5-41FB-AF02-A6863ED397A9}"/>
  <bookViews>
    <workbookView minimized="1" xWindow="4180" yWindow="1140" windowWidth="14400" windowHeight="8170" activeTab="3" xr2:uid="{58BF136E-B6D3-E245-87B1-3AE132C1A0C6}"/>
  </bookViews>
  <sheets>
    <sheet name="Valutazione_Modelli" sheetId="24" r:id="rId1"/>
    <sheet name="Confusion Matrix C" sheetId="25" r:id="rId2"/>
    <sheet name="Errori" sheetId="26" r:id="rId3"/>
    <sheet name="MonteCarlo" sheetId="2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24" l="1"/>
  <c r="I40" i="24"/>
  <c r="I41" i="24"/>
  <c r="I42" i="24"/>
  <c r="I43" i="24"/>
  <c r="I44" i="24"/>
  <c r="I45" i="24"/>
  <c r="I46" i="24"/>
  <c r="I47" i="24"/>
  <c r="I48" i="24"/>
  <c r="I49" i="24"/>
  <c r="D10" i="27"/>
  <c r="D5" i="27"/>
  <c r="M3" i="27"/>
  <c r="L3" i="27"/>
  <c r="J3" i="27"/>
  <c r="I4" i="27"/>
  <c r="I3" i="27"/>
  <c r="H16" i="26"/>
  <c r="G16" i="26"/>
  <c r="G4" i="26"/>
  <c r="F16" i="26"/>
  <c r="F4" i="26"/>
  <c r="E16" i="26"/>
  <c r="E4" i="26"/>
  <c r="J39" i="24"/>
  <c r="H47" i="24"/>
  <c r="G40" i="24"/>
  <c r="G39" i="24"/>
  <c r="F42" i="24"/>
  <c r="E43" i="24"/>
  <c r="E42" i="24"/>
  <c r="E41" i="24"/>
  <c r="E40" i="24"/>
  <c r="I31" i="24"/>
  <c r="I30" i="24"/>
  <c r="I29" i="24"/>
  <c r="I28" i="24"/>
  <c r="K26" i="24"/>
  <c r="J26" i="24"/>
  <c r="I26" i="24"/>
  <c r="K25" i="24"/>
  <c r="K24" i="24"/>
  <c r="J40" i="24"/>
  <c r="J41" i="24"/>
  <c r="J42" i="24"/>
  <c r="J43" i="24"/>
  <c r="J44" i="24"/>
  <c r="J45" i="24"/>
  <c r="J46" i="24"/>
  <c r="J47" i="24"/>
  <c r="J48" i="24"/>
  <c r="J49" i="24"/>
  <c r="I33" i="24"/>
  <c r="I32" i="24"/>
  <c r="J25" i="24"/>
  <c r="I25" i="24"/>
  <c r="J24" i="24"/>
  <c r="I24" i="24"/>
  <c r="I50" i="24" l="1"/>
  <c r="G44" i="24"/>
  <c r="C31" i="24" l="1"/>
  <c r="F5" i="27" l="1"/>
  <c r="E5" i="27"/>
  <c r="C6" i="27" l="1"/>
  <c r="C7" i="27" s="1"/>
  <c r="C8" i="27" s="1"/>
  <c r="C9" i="27" s="1"/>
  <c r="C10" i="27" s="1"/>
  <c r="C11" i="27" s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C23" i="27" s="1"/>
  <c r="C24" i="27" s="1"/>
  <c r="C25" i="27" s="1"/>
  <c r="C26" i="27" s="1"/>
  <c r="C27" i="27" s="1"/>
  <c r="C28" i="27" s="1"/>
  <c r="C29" i="27" s="1"/>
  <c r="C30" i="27" s="1"/>
  <c r="C31" i="27" s="1"/>
  <c r="C32" i="27" s="1"/>
  <c r="C33" i="27" s="1"/>
  <c r="C34" i="27" s="1"/>
  <c r="C35" i="27" s="1"/>
  <c r="C36" i="27" s="1"/>
  <c r="C37" i="27" s="1"/>
  <c r="C38" i="27" s="1"/>
  <c r="C39" i="27" s="1"/>
  <c r="C40" i="27" s="1"/>
  <c r="C41" i="27" s="1"/>
  <c r="C42" i="27" s="1"/>
  <c r="C43" i="27" s="1"/>
  <c r="H36" i="27"/>
  <c r="H37" i="27"/>
  <c r="H38" i="27"/>
  <c r="H39" i="27"/>
  <c r="H40" i="27"/>
  <c r="H41" i="27"/>
  <c r="H42" i="27"/>
  <c r="H43" i="27"/>
  <c r="G36" i="27"/>
  <c r="G37" i="27"/>
  <c r="G38" i="27"/>
  <c r="G39" i="27"/>
  <c r="G40" i="27"/>
  <c r="G41" i="27"/>
  <c r="G42" i="27"/>
  <c r="G43" i="27"/>
  <c r="F36" i="27"/>
  <c r="F37" i="27"/>
  <c r="F38" i="27"/>
  <c r="F39" i="27"/>
  <c r="F40" i="27"/>
  <c r="F41" i="27"/>
  <c r="F42" i="27"/>
  <c r="F43" i="27"/>
  <c r="E36" i="27"/>
  <c r="E37" i="27"/>
  <c r="E38" i="27"/>
  <c r="E39" i="27"/>
  <c r="E40" i="27"/>
  <c r="E41" i="27"/>
  <c r="E42" i="27"/>
  <c r="E43" i="27"/>
  <c r="D36" i="27"/>
  <c r="D37" i="27"/>
  <c r="D38" i="27"/>
  <c r="D39" i="27"/>
  <c r="D40" i="27"/>
  <c r="D41" i="27"/>
  <c r="D42" i="27"/>
  <c r="D43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D6" i="27"/>
  <c r="D7" i="27"/>
  <c r="D8" i="27"/>
  <c r="D9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G5" i="27"/>
  <c r="H5" i="27"/>
  <c r="E5" i="26"/>
  <c r="E6" i="26"/>
  <c r="E7" i="26"/>
  <c r="E8" i="26"/>
  <c r="E9" i="26"/>
  <c r="E10" i="26"/>
  <c r="E11" i="26"/>
  <c r="E12" i="26"/>
  <c r="E13" i="26"/>
  <c r="E14" i="26"/>
  <c r="E15" i="26"/>
  <c r="F5" i="26"/>
  <c r="F6" i="26"/>
  <c r="F7" i="26"/>
  <c r="F8" i="26"/>
  <c r="F9" i="26"/>
  <c r="F10" i="26"/>
  <c r="F11" i="26"/>
  <c r="F12" i="26"/>
  <c r="F13" i="26"/>
  <c r="F14" i="26"/>
  <c r="F15" i="26"/>
  <c r="G5" i="26"/>
  <c r="G6" i="26"/>
  <c r="G7" i="26"/>
  <c r="G8" i="26"/>
  <c r="G9" i="26"/>
  <c r="G10" i="26"/>
  <c r="G11" i="26"/>
  <c r="G12" i="26"/>
  <c r="G13" i="26"/>
  <c r="G14" i="26"/>
  <c r="G15" i="26"/>
  <c r="I5" i="27" l="1"/>
  <c r="I6" i="27"/>
  <c r="I16" i="27"/>
  <c r="I35" i="27"/>
  <c r="I30" i="27"/>
  <c r="I28" i="27"/>
  <c r="I22" i="27"/>
  <c r="I26" i="27"/>
  <c r="I7" i="27"/>
  <c r="I43" i="27"/>
  <c r="I42" i="27"/>
  <c r="I20" i="27"/>
  <c r="I36" i="27"/>
  <c r="I37" i="27"/>
  <c r="I32" i="27"/>
  <c r="I41" i="27"/>
  <c r="I40" i="27"/>
  <c r="I39" i="27"/>
  <c r="I38" i="27"/>
  <c r="I29" i="27"/>
  <c r="I31" i="27"/>
  <c r="I17" i="27"/>
  <c r="I27" i="27"/>
  <c r="I25" i="27"/>
  <c r="I23" i="27"/>
  <c r="I21" i="27"/>
  <c r="I19" i="27"/>
  <c r="I14" i="27"/>
  <c r="I24" i="27"/>
  <c r="I34" i="27"/>
  <c r="I33" i="27"/>
  <c r="I13" i="27"/>
  <c r="I18" i="27"/>
  <c r="I12" i="27"/>
  <c r="I15" i="27"/>
  <c r="I10" i="27"/>
  <c r="I8" i="27"/>
  <c r="I11" i="27"/>
  <c r="I9" i="27"/>
  <c r="F40" i="24"/>
  <c r="D50" i="24"/>
  <c r="C50" i="24"/>
  <c r="D31" i="24"/>
  <c r="P3" i="27" l="1"/>
  <c r="O3" i="27"/>
  <c r="F41" i="24"/>
  <c r="H11" i="24"/>
  <c r="H10" i="24"/>
  <c r="H9" i="24"/>
  <c r="H5" i="24"/>
  <c r="H4" i="24"/>
  <c r="H6" i="24" s="1"/>
  <c r="H3" i="24"/>
  <c r="H12" i="24" l="1"/>
  <c r="F43" i="24" l="1"/>
  <c r="E44" i="24" l="1"/>
  <c r="F44" i="24"/>
  <c r="F45" i="24" l="1"/>
  <c r="E45" i="24"/>
  <c r="E46" i="24" l="1"/>
  <c r="F46" i="24"/>
  <c r="F47" i="24" l="1"/>
  <c r="E47" i="24"/>
  <c r="E48" i="24" l="1"/>
  <c r="F48" i="24"/>
  <c r="F49" i="24" l="1"/>
  <c r="H48" i="24" s="1"/>
  <c r="E49" i="24"/>
  <c r="G48" i="24" s="1"/>
  <c r="G49" i="24" l="1"/>
  <c r="G41" i="24"/>
  <c r="G42" i="24"/>
  <c r="G43" i="24"/>
  <c r="G45" i="24"/>
  <c r="G46" i="24"/>
  <c r="G47" i="24"/>
  <c r="H49" i="24"/>
  <c r="H39" i="24"/>
  <c r="H40" i="24"/>
  <c r="H41" i="24"/>
  <c r="H42" i="24"/>
  <c r="H43" i="24"/>
  <c r="H44" i="24"/>
  <c r="H45" i="24"/>
  <c r="H46" i="24"/>
</calcChain>
</file>

<file path=xl/sharedStrings.xml><?xml version="1.0" encoding="utf-8"?>
<sst xmlns="http://schemas.openxmlformats.org/spreadsheetml/2006/main" count="151" uniqueCount="109">
  <si>
    <t>Dev. Std</t>
  </si>
  <si>
    <t>Accuracy:</t>
  </si>
  <si>
    <t>Precision:</t>
  </si>
  <si>
    <t>Recall:</t>
  </si>
  <si>
    <t>F-score:</t>
  </si>
  <si>
    <t>(TP+TN)/(TP+TN+FP+FN)</t>
  </si>
  <si>
    <t>TP/(TP+FP)</t>
  </si>
  <si>
    <t>TP/(TP+FN)</t>
  </si>
  <si>
    <t>malato</t>
  </si>
  <si>
    <t>sano</t>
  </si>
  <si>
    <t>predetto</t>
  </si>
  <si>
    <t>reale</t>
  </si>
  <si>
    <t>Bilanciato</t>
  </si>
  <si>
    <t>Non-bilanciato</t>
  </si>
  <si>
    <t>ESEMPIO2.</t>
  </si>
  <si>
    <t>Positive</t>
  </si>
  <si>
    <t>Negative</t>
  </si>
  <si>
    <t>&lt; 2.00</t>
  </si>
  <si>
    <t>2.00 - 3.99</t>
  </si>
  <si>
    <t>4.00 - 5.99</t>
  </si>
  <si>
    <t>6.00 - 7.99</t>
  </si>
  <si>
    <t>8.00 - 9.99</t>
  </si>
  <si>
    <t>10.00 - 11.99</t>
  </si>
  <si>
    <t>12.00 - 13.99</t>
  </si>
  <si>
    <t>14.00 - 15.99</t>
  </si>
  <si>
    <t>16.00 - 17.99</t>
  </si>
  <si>
    <t>&gt; 18.00</t>
  </si>
  <si>
    <t>tot.</t>
  </si>
  <si>
    <t>neg.</t>
  </si>
  <si>
    <t>pos.</t>
  </si>
  <si>
    <t>Cutoff dataset:</t>
  </si>
  <si>
    <t>True Negative Rate:</t>
  </si>
  <si>
    <t>Positiv Predicted Val:</t>
  </si>
  <si>
    <t>Negat Predicted Val:</t>
  </si>
  <si>
    <t>Step1. Collect experimental data</t>
  </si>
  <si>
    <t>Step4. compute the metrics</t>
  </si>
  <si>
    <t>Step5. create the ROC table</t>
  </si>
  <si>
    <t>Dosage</t>
  </si>
  <si>
    <t>Observed</t>
  </si>
  <si>
    <t>Cumulative</t>
  </si>
  <si>
    <t>FPR</t>
  </si>
  <si>
    <t>TPR</t>
  </si>
  <si>
    <t>AUC</t>
  </si>
  <si>
    <t>Step6. create the ROC Curve (as a scatter plot)</t>
  </si>
  <si>
    <t>(Area Under the Curve)</t>
  </si>
  <si>
    <t>The higher the ROC Curve the better the fit.</t>
  </si>
  <si>
    <t>The AUC Metric compute the area: closer to 1 the better the fit.*</t>
  </si>
  <si>
    <t>* AUC=0.5 shows that the model's ability to discriminate between negative and positive is do by a monkey (do to chance)</t>
  </si>
  <si>
    <t>Researchers are testing a new spray as a new vaccine against COVID19. 
They want to discover the correct dosage of the spray. They tested 900 people with dosages varying from 0 μg to 20 μg. They then tabulated the number of people who tested COVID19 negative and positive in 2 μg dosage intervals. </t>
  </si>
  <si>
    <t>AUC=0.894 shows a good fit (i.e., the classificator for the new nasal vaccine works very well)</t>
  </si>
  <si>
    <t>Step7. interpret the ROC Curve</t>
  </si>
  <si>
    <t>Step2. define the cutoff (test set)</t>
  </si>
  <si>
    <t>cane</t>
  </si>
  <si>
    <t>gatto</t>
  </si>
  <si>
    <t>cavallo</t>
  </si>
  <si>
    <t>oca</t>
  </si>
  <si>
    <t>tacchino</t>
  </si>
  <si>
    <t>scimmia</t>
  </si>
  <si>
    <t>Actual animal classification</t>
  </si>
  <si>
    <t>Predicted animal classification</t>
  </si>
  <si>
    <t>Mese</t>
  </si>
  <si>
    <t>Temp. Media Reale</t>
  </si>
  <si>
    <t>Temp. Media Predetta</t>
  </si>
  <si>
    <t>gennaio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</si>
  <si>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</si>
  <si>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</si>
  <si>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</si>
  <si>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</si>
  <si>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</si>
  <si>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</si>
  <si>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</si>
  <si>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</si>
  <si>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</si>
  <si>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</si>
  <si>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febbraio</t>
  </si>
  <si>
    <t>Nord Italia</t>
  </si>
  <si>
    <t>Errore Assoluto</t>
  </si>
  <si>
    <t>Errore Quadratico</t>
  </si>
  <si>
    <t>Errore Relativo</t>
  </si>
  <si>
    <t>MAE</t>
  </si>
  <si>
    <t>MRE</t>
  </si>
  <si>
    <t>MSE</t>
  </si>
  <si>
    <t>RMSE</t>
  </si>
  <si>
    <t>Titolo</t>
  </si>
  <si>
    <t>A</t>
  </si>
  <si>
    <t>B</t>
  </si>
  <si>
    <t>C</t>
  </si>
  <si>
    <t>D</t>
  </si>
  <si>
    <t>E</t>
  </si>
  <si>
    <t>Tot. Portafoglio</t>
  </si>
  <si>
    <t>Iterazioni Simulazione MonteCarlo</t>
  </si>
  <si>
    <t>N iteraz Monte Carlo</t>
  </si>
  <si>
    <t>Investo:</t>
  </si>
  <si>
    <t>Val max</t>
  </si>
  <si>
    <t>Val min</t>
  </si>
  <si>
    <t>Err assoluto:</t>
  </si>
  <si>
    <t>Prob di perdere soldi:</t>
  </si>
  <si>
    <t>Prob di guadagno &gt;=5000€</t>
  </si>
  <si>
    <t>Step1.</t>
  </si>
  <si>
    <t>Step2.</t>
  </si>
  <si>
    <t>Step3.</t>
  </si>
  <si>
    <t>Dati.</t>
  </si>
  <si>
    <t>TPR-FPR</t>
  </si>
  <si>
    <r>
      <rPr>
        <b/>
        <sz val="11"/>
        <color theme="1"/>
        <rFont val="Calibri"/>
        <family val="2"/>
        <scheme val="minor"/>
      </rPr>
      <t>Youden's index</t>
    </r>
    <r>
      <rPr>
        <sz val="11"/>
        <color theme="1"/>
        <rFont val="Calibri"/>
        <family val="2"/>
        <scheme val="minor"/>
      </rPr>
      <t>: Max val determina cut-off ottimale (i.e., nel ns esempio, identifica miglior dosaggio)</t>
    </r>
  </si>
  <si>
    <t>True Positive Rate TPR:</t>
  </si>
  <si>
    <t>False Positive Rate FPR:</t>
  </si>
  <si>
    <t>The range 8 - 10 is the best dosage</t>
  </si>
  <si>
    <t>Errore max richiesto:</t>
  </si>
  <si>
    <t>Step3. write the 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</si>
</sst>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_-* #,##0.00\ [$€-410]_-;\-* #,##0.00\ [$€-410]_-;_-* &quot;-&quot;??\ [$€-410]_-;_-@_-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1111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rgb="FF1111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3">
    <xf numFmtId="0" fontId="0" fillId="0" borderId="0" xfId="0"/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12" xfId="0" applyBorder="1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3" xfId="0" applyFont="1" applyBorder="1"/>
    <xf numFmtId="10" fontId="0" fillId="0" borderId="11" xfId="1" applyNumberFormat="1" applyFont="1" applyBorder="1"/>
    <xf numFmtId="0" fontId="2" fillId="0" borderId="15" xfId="0" applyFont="1" applyBorder="1"/>
    <xf numFmtId="10" fontId="0" fillId="0" borderId="0" xfId="1" applyNumberFormat="1" applyFont="1" applyBorder="1"/>
    <xf numFmtId="0" fontId="2" fillId="0" borderId="17" xfId="0" applyFont="1" applyBorder="1"/>
    <xf numFmtId="10" fontId="0" fillId="0" borderId="12" xfId="1" applyNumberFormat="1" applyFont="1" applyBorder="1"/>
    <xf numFmtId="0" fontId="5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/>
    <xf numFmtId="0" fontId="0" fillId="0" borderId="27" xfId="0" applyBorder="1"/>
    <xf numFmtId="0" fontId="0" fillId="0" borderId="28" xfId="0" applyBorder="1"/>
    <xf numFmtId="0" fontId="0" fillId="0" borderId="8" xfId="0" applyBorder="1" applyAlignment="1">
      <alignment horizontal="center"/>
    </xf>
    <xf numFmtId="0" fontId="2" fillId="2" borderId="0" xfId="0" applyFont="1" applyFill="1"/>
    <xf numFmtId="0" fontId="6" fillId="0" borderId="0" xfId="0" applyFont="1" applyAlignment="1">
      <alignment horizontal="left" wrapText="1"/>
    </xf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7" fillId="0" borderId="29" xfId="0" applyFont="1" applyBorder="1"/>
    <xf numFmtId="0" fontId="7" fillId="0" borderId="30" xfId="0" applyFont="1" applyBorder="1"/>
    <xf numFmtId="0" fontId="7" fillId="0" borderId="20" xfId="0" applyFont="1" applyBorder="1"/>
    <xf numFmtId="0" fontId="0" fillId="0" borderId="5" xfId="0" applyBorder="1"/>
    <xf numFmtId="0" fontId="0" fillId="0" borderId="32" xfId="0" applyBorder="1"/>
    <xf numFmtId="0" fontId="0" fillId="0" borderId="28" xfId="0" applyBorder="1" applyAlignment="1">
      <alignment horizontal="right"/>
    </xf>
    <xf numFmtId="0" fontId="0" fillId="0" borderId="2" xfId="0" applyBorder="1"/>
    <xf numFmtId="0" fontId="0" fillId="0" borderId="33" xfId="0" applyBorder="1"/>
    <xf numFmtId="0" fontId="8" fillId="0" borderId="14" xfId="0" quotePrefix="1" applyFont="1" applyBorder="1" applyAlignment="1">
      <alignment horizontal="center"/>
    </xf>
    <xf numFmtId="0" fontId="8" fillId="0" borderId="16" xfId="0" quotePrefix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9" fillId="0" borderId="0" xfId="0" applyFont="1"/>
    <xf numFmtId="0" fontId="0" fillId="2" borderId="15" xfId="0" applyFill="1" applyBorder="1" applyAlignment="1">
      <alignment horizontal="right"/>
    </xf>
    <xf numFmtId="0" fontId="0" fillId="2" borderId="5" xfId="0" applyFill="1" applyBorder="1"/>
    <xf numFmtId="0" fontId="0" fillId="2" borderId="16" xfId="0" applyFill="1" applyBorder="1"/>
    <xf numFmtId="0" fontId="2" fillId="0" borderId="22" xfId="0" applyFont="1" applyBorder="1" applyAlignment="1">
      <alignment horizontal="left"/>
    </xf>
    <xf numFmtId="164" fontId="0" fillId="0" borderId="23" xfId="0" applyNumberFormat="1" applyBorder="1" applyAlignment="1">
      <alignment horizontal="left"/>
    </xf>
    <xf numFmtId="164" fontId="0" fillId="0" borderId="26" xfId="0" applyNumberFormat="1" applyBorder="1" applyAlignment="1">
      <alignment horizontal="left"/>
    </xf>
    <xf numFmtId="0" fontId="0" fillId="0" borderId="36" xfId="0" applyBorder="1" applyAlignment="1">
      <alignment horizontal="left"/>
    </xf>
    <xf numFmtId="0" fontId="2" fillId="0" borderId="0" xfId="0" applyFont="1" applyAlignment="1">
      <alignment horizontal="left"/>
    </xf>
    <xf numFmtId="0" fontId="7" fillId="0" borderId="15" xfId="0" applyFont="1" applyBorder="1"/>
    <xf numFmtId="0" fontId="7" fillId="0" borderId="5" xfId="0" applyFont="1" applyBorder="1"/>
    <xf numFmtId="0" fontId="7" fillId="0" borderId="16" xfId="0" applyFont="1" applyBorder="1"/>
    <xf numFmtId="0" fontId="5" fillId="0" borderId="13" xfId="0" applyFont="1" applyBorder="1"/>
    <xf numFmtId="0" fontId="0" fillId="0" borderId="11" xfId="0" applyBorder="1"/>
    <xf numFmtId="0" fontId="0" fillId="0" borderId="14" xfId="0" applyBorder="1"/>
    <xf numFmtId="0" fontId="7" fillId="0" borderId="13" xfId="0" applyFont="1" applyBorder="1"/>
    <xf numFmtId="0" fontId="0" fillId="0" borderId="15" xfId="0" applyBorder="1"/>
    <xf numFmtId="0" fontId="0" fillId="0" borderId="17" xfId="0" applyBorder="1"/>
    <xf numFmtId="0" fontId="7" fillId="0" borderId="37" xfId="0" applyFont="1" applyBorder="1"/>
    <xf numFmtId="0" fontId="0" fillId="0" borderId="4" xfId="0" applyBorder="1"/>
    <xf numFmtId="0" fontId="7" fillId="0" borderId="38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7" xfId="0" applyFont="1" applyBorder="1"/>
    <xf numFmtId="165" fontId="0" fillId="0" borderId="12" xfId="0" applyNumberFormat="1" applyBorder="1"/>
    <xf numFmtId="165" fontId="0" fillId="0" borderId="40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2" fillId="2" borderId="26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5" xfId="0" applyFill="1" applyBorder="1"/>
    <xf numFmtId="0" fontId="0" fillId="2" borderId="17" xfId="0" applyFill="1" applyBorder="1"/>
    <xf numFmtId="0" fontId="11" fillId="0" borderId="11" xfId="0" applyFont="1" applyBorder="1" applyAlignment="1">
      <alignment horizontal="center" vertical="center" textRotation="90"/>
    </xf>
    <xf numFmtId="0" fontId="11" fillId="0" borderId="3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0" xfId="0" applyFont="1"/>
    <xf numFmtId="0" fontId="11" fillId="0" borderId="3" xfId="0" applyFont="1" applyBorder="1" applyAlignment="1">
      <alignment horizontal="center" vertical="center" textRotation="90"/>
    </xf>
    <xf numFmtId="0" fontId="11" fillId="0" borderId="16" xfId="0" applyFont="1" applyBorder="1" applyAlignment="1">
      <alignment horizontal="center" vertical="center" textRotation="90"/>
    </xf>
    <xf numFmtId="0" fontId="11" fillId="0" borderId="17" xfId="0" applyFont="1" applyBorder="1"/>
    <xf numFmtId="0" fontId="11" fillId="0" borderId="12" xfId="0" applyFont="1" applyBorder="1"/>
    <xf numFmtId="0" fontId="11" fillId="0" borderId="15" xfId="0" applyFont="1" applyBorder="1"/>
    <xf numFmtId="0" fontId="0" fillId="2" borderId="1" xfId="0" applyFill="1" applyBorder="1"/>
    <xf numFmtId="0" fontId="0" fillId="2" borderId="13" xfId="0" applyFill="1" applyBorder="1"/>
    <xf numFmtId="0" fontId="0" fillId="2" borderId="37" xfId="0" applyFill="1" applyBorder="1"/>
    <xf numFmtId="0" fontId="0" fillId="2" borderId="11" xfId="0" applyFill="1" applyBorder="1"/>
    <xf numFmtId="2" fontId="0" fillId="0" borderId="0" xfId="1" applyNumberFormat="1" applyFont="1" applyBorder="1"/>
    <xf numFmtId="2" fontId="2" fillId="2" borderId="0" xfId="0" applyNumberFormat="1" applyFont="1" applyFill="1" applyAlignment="1">
      <alignment horizontal="right"/>
    </xf>
    <xf numFmtId="2" fontId="2" fillId="2" borderId="16" xfId="0" applyNumberFormat="1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0" fillId="2" borderId="14" xfId="0" applyFill="1" applyBorder="1"/>
    <xf numFmtId="2" fontId="2" fillId="2" borderId="1" xfId="0" applyNumberFormat="1" applyFont="1" applyFill="1" applyBorder="1" applyAlignment="1">
      <alignment horizontal="right"/>
    </xf>
    <xf numFmtId="0" fontId="2" fillId="2" borderId="31" xfId="0" applyFont="1" applyFill="1" applyBorder="1" applyAlignment="1">
      <alignment horizontal="right"/>
    </xf>
    <xf numFmtId="0" fontId="2" fillId="0" borderId="7" xfId="0" applyFont="1" applyBorder="1"/>
    <xf numFmtId="0" fontId="0" fillId="0" borderId="7" xfId="0" applyBorder="1"/>
    <xf numFmtId="0" fontId="0" fillId="2" borderId="7" xfId="0" applyFill="1" applyBorder="1"/>
    <xf numFmtId="0" fontId="0" fillId="2" borderId="31" xfId="0" applyFill="1" applyBorder="1"/>
    <xf numFmtId="0" fontId="0" fillId="2" borderId="42" xfId="0" applyFill="1" applyBorder="1"/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/>
    <xf numFmtId="0" fontId="2" fillId="2" borderId="17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4" fontId="2" fillId="0" borderId="21" xfId="0" applyNumberFormat="1" applyFont="1" applyBorder="1" applyAlignment="1">
      <alignment horizontal="left"/>
    </xf>
    <xf numFmtId="0" fontId="0" fillId="0" borderId="46" xfId="0" applyBorder="1"/>
    <xf numFmtId="0" fontId="7" fillId="0" borderId="43" xfId="0" applyFon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165" fontId="0" fillId="2" borderId="44" xfId="0" applyNumberFormat="1" applyFill="1" applyBorder="1" applyAlignment="1">
      <alignment horizontal="center"/>
    </xf>
    <xf numFmtId="0" fontId="0" fillId="3" borderId="15" xfId="0" applyFill="1" applyBorder="1" applyAlignment="1">
      <alignment horizontal="right"/>
    </xf>
    <xf numFmtId="0" fontId="0" fillId="3" borderId="5" xfId="0" applyFill="1" applyBorder="1"/>
    <xf numFmtId="0" fontId="0" fillId="3" borderId="16" xfId="0" applyFill="1" applyBorder="1"/>
    <xf numFmtId="0" fontId="0" fillId="3" borderId="15" xfId="0" applyFill="1" applyBorder="1"/>
    <xf numFmtId="0" fontId="0" fillId="3" borderId="1" xfId="0" applyFill="1" applyBorder="1"/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40" xfId="0" applyNumberFormat="1" applyFill="1" applyBorder="1" applyAlignment="1">
      <alignment horizontal="center"/>
    </xf>
    <xf numFmtId="0" fontId="12" fillId="0" borderId="0" xfId="0" applyFont="1"/>
    <xf numFmtId="0" fontId="15" fillId="2" borderId="13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2" fontId="16" fillId="0" borderId="15" xfId="0" applyNumberFormat="1" applyFont="1" applyBorder="1"/>
    <xf numFmtId="9" fontId="16" fillId="0" borderId="0" xfId="0" applyNumberFormat="1" applyFont="1"/>
    <xf numFmtId="2" fontId="16" fillId="0" borderId="0" xfId="0" applyNumberFormat="1" applyFont="1"/>
    <xf numFmtId="0" fontId="16" fillId="0" borderId="17" xfId="0" applyFont="1" applyBorder="1"/>
    <xf numFmtId="0" fontId="16" fillId="0" borderId="12" xfId="0" applyFont="1" applyBorder="1"/>
    <xf numFmtId="0" fontId="16" fillId="0" borderId="18" xfId="0" applyFont="1" applyBorder="1"/>
    <xf numFmtId="166" fontId="16" fillId="0" borderId="16" xfId="0" applyNumberFormat="1" applyFont="1" applyBorder="1"/>
    <xf numFmtId="0" fontId="16" fillId="0" borderId="13" xfId="0" applyFont="1" applyBorder="1" applyAlignment="1">
      <alignment horizontal="center"/>
    </xf>
    <xf numFmtId="167" fontId="16" fillId="0" borderId="11" xfId="0" applyNumberFormat="1" applyFont="1" applyBorder="1"/>
    <xf numFmtId="167" fontId="16" fillId="0" borderId="14" xfId="0" applyNumberFormat="1" applyFont="1" applyBorder="1"/>
    <xf numFmtId="0" fontId="16" fillId="0" borderId="15" xfId="0" applyFont="1" applyBorder="1" applyAlignment="1">
      <alignment horizontal="center"/>
    </xf>
    <xf numFmtId="167" fontId="16" fillId="0" borderId="0" xfId="0" applyNumberFormat="1" applyFont="1"/>
    <xf numFmtId="167" fontId="16" fillId="0" borderId="16" xfId="0" applyNumberFormat="1" applyFont="1" applyBorder="1"/>
    <xf numFmtId="0" fontId="16" fillId="0" borderId="17" xfId="0" applyFont="1" applyBorder="1" applyAlignment="1">
      <alignment horizontal="center"/>
    </xf>
    <xf numFmtId="167" fontId="16" fillId="0" borderId="12" xfId="0" applyNumberFormat="1" applyFont="1" applyBorder="1"/>
    <xf numFmtId="167" fontId="16" fillId="0" borderId="18" xfId="0" applyNumberFormat="1" applyFont="1" applyBorder="1"/>
    <xf numFmtId="167" fontId="16" fillId="0" borderId="15" xfId="0" applyNumberFormat="1" applyFont="1" applyBorder="1"/>
    <xf numFmtId="10" fontId="16" fillId="0" borderId="0" xfId="1" applyNumberFormat="1" applyFont="1" applyBorder="1"/>
    <xf numFmtId="10" fontId="16" fillId="0" borderId="16" xfId="1" applyNumberFormat="1" applyFont="1" applyBorder="1"/>
    <xf numFmtId="0" fontId="7" fillId="0" borderId="0" xfId="0" applyFont="1"/>
    <xf numFmtId="0" fontId="13" fillId="2" borderId="3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10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3" fillId="0" borderId="13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3" fillId="0" borderId="28" xfId="0" applyFont="1" applyBorder="1" applyAlignment="1">
      <alignment horizontal="center" vertical="center" textRotation="90"/>
    </xf>
    <xf numFmtId="0" fontId="3" fillId="0" borderId="3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15" fillId="2" borderId="43" xfId="0" applyFont="1" applyFill="1" applyBorder="1" applyAlignment="1">
      <alignment horizontal="center" vertical="center" textRotation="90"/>
    </xf>
    <xf numFmtId="0" fontId="15" fillId="2" borderId="44" xfId="0" applyFont="1" applyFill="1" applyBorder="1" applyAlignment="1">
      <alignment horizontal="center" vertical="center" textRotation="90"/>
    </xf>
    <xf numFmtId="0" fontId="15" fillId="2" borderId="45" xfId="0" applyFont="1" applyFill="1" applyBorder="1" applyAlignment="1">
      <alignment horizontal="center" vertical="center" textRotation="90"/>
    </xf>
    <xf numFmtId="0" fontId="7" fillId="0" borderId="16" xfId="0" applyFont="1" applyBorder="1" applyAlignment="1">
      <alignment horizontal="center" textRotation="90"/>
    </xf>
    <xf numFmtId="2" fontId="0" fillId="0" borderId="16" xfId="0" applyNumberFormat="1" applyBorder="1"/>
    <xf numFmtId="2" fontId="0" fillId="0" borderId="12" xfId="0" applyNumberFormat="1" applyBorder="1"/>
    <xf numFmtId="2" fontId="0" fillId="0" borderId="18" xfId="0" applyNumberForma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CACF00"/>
      <color rgb="FFEA9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ROC Curve</a:t>
            </a:r>
            <a:r>
              <a:rPr lang="it-IT" baseline="0"/>
              <a:t> for the new Nasal Vaccine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Valutazione_Modelli!$G$39:$G$49</c:f>
              <c:numCache>
                <c:formatCode>0.000</c:formatCode>
                <c:ptCount val="11"/>
                <c:pt idx="0">
                  <c:v>1</c:v>
                </c:pt>
                <c:pt idx="1">
                  <c:v>0.9461172741679873</c:v>
                </c:pt>
                <c:pt idx="2">
                  <c:v>0.82884310618066559</c:v>
                </c:pt>
                <c:pt idx="3">
                  <c:v>0.67036450079239307</c:v>
                </c:pt>
                <c:pt idx="4">
                  <c:v>0.46909667194928684</c:v>
                </c:pt>
                <c:pt idx="5">
                  <c:v>0.22662440570522979</c:v>
                </c:pt>
                <c:pt idx="6">
                  <c:v>4.5958795562599075E-2</c:v>
                </c:pt>
                <c:pt idx="7">
                  <c:v>1.5847860538827252E-2</c:v>
                </c:pt>
                <c:pt idx="8">
                  <c:v>6.3391442155309452E-3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Valutazione_Modelli!$H$39:$H$49</c:f>
              <c:numCache>
                <c:formatCode>0.000</c:formatCode>
                <c:ptCount val="11"/>
                <c:pt idx="0">
                  <c:v>1</c:v>
                </c:pt>
                <c:pt idx="1">
                  <c:v>0.99256505576208176</c:v>
                </c:pt>
                <c:pt idx="2">
                  <c:v>0.97026022304832715</c:v>
                </c:pt>
                <c:pt idx="3">
                  <c:v>0.93308550185873607</c:v>
                </c:pt>
                <c:pt idx="4">
                  <c:v>0.88847583643122674</c:v>
                </c:pt>
                <c:pt idx="5">
                  <c:v>0.80297397769516732</c:v>
                </c:pt>
                <c:pt idx="6">
                  <c:v>0.5985130111524164</c:v>
                </c:pt>
                <c:pt idx="7">
                  <c:v>0.3197026022304833</c:v>
                </c:pt>
                <c:pt idx="8">
                  <c:v>0.16728624535315983</c:v>
                </c:pt>
                <c:pt idx="9">
                  <c:v>5.5762081784386575E-2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B-974A-8F03-59CDCD6E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766080"/>
        <c:axId val="911204319"/>
      </c:scatterChart>
      <c:valAx>
        <c:axId val="151376608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False Positive Rate (FPR)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1204319"/>
        <c:crosses val="autoZero"/>
        <c:crossBetween val="midCat"/>
      </c:valAx>
      <c:valAx>
        <c:axId val="91120431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True Positive Rate (TPR)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37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reale vs. predetto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8190606189754507E-3"/>
                  <c:y val="-9.9668188898218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Errori!$C$4:$C$15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26</c:v>
                </c:pt>
                <c:pt idx="6">
                  <c:v>29</c:v>
                </c:pt>
                <c:pt idx="7">
                  <c:v>28</c:v>
                </c:pt>
                <c:pt idx="8">
                  <c:v>24</c:v>
                </c:pt>
                <c:pt idx="9">
                  <c:v>16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Errori!$D$4:$D$15</c:f>
              <c:numCache>
                <c:formatCode>General</c:formatCode>
                <c:ptCount val="12"/>
                <c:pt idx="0">
                  <c:v>6</c:v>
                </c:pt>
                <c:pt idx="1">
                  <c:v>8.5</c:v>
                </c:pt>
                <c:pt idx="2">
                  <c:v>11</c:v>
                </c:pt>
                <c:pt idx="3">
                  <c:v>18</c:v>
                </c:pt>
                <c:pt idx="4">
                  <c:v>24</c:v>
                </c:pt>
                <c:pt idx="5">
                  <c:v>28</c:v>
                </c:pt>
                <c:pt idx="6">
                  <c:v>31</c:v>
                </c:pt>
                <c:pt idx="7">
                  <c:v>30</c:v>
                </c:pt>
                <c:pt idx="8">
                  <c:v>24.5</c:v>
                </c:pt>
                <c:pt idx="9">
                  <c:v>15</c:v>
                </c:pt>
                <c:pt idx="10">
                  <c:v>11</c:v>
                </c:pt>
                <c:pt idx="1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2-784A-A3EA-2FEDF1CF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13744"/>
        <c:axId val="808764527"/>
      </c:scatterChart>
      <c:valAx>
        <c:axId val="646313744"/>
        <c:scaling>
          <c:orientation val="minMax"/>
          <c:max val="32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8764527"/>
        <c:crosses val="autoZero"/>
        <c:crossBetween val="midCat"/>
      </c:valAx>
      <c:valAx>
        <c:axId val="808764527"/>
        <c:scaling>
          <c:orientation val="minMax"/>
          <c:max val="3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3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36</xdr:row>
      <xdr:rowOff>29633</xdr:rowOff>
    </xdr:from>
    <xdr:to>
      <xdr:col>14</xdr:col>
      <xdr:colOff>465667</xdr:colOff>
      <xdr:row>50</xdr:row>
      <xdr:rowOff>101601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49</xdr:row>
      <xdr:rowOff>8467</xdr:rowOff>
    </xdr:from>
    <xdr:to>
      <xdr:col>9</xdr:col>
      <xdr:colOff>770467</xdr:colOff>
      <xdr:row>53</xdr:row>
      <xdr:rowOff>135467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CxnSpPr/>
      </xdr:nvCxnSpPr>
      <xdr:spPr>
        <a:xfrm>
          <a:off x="7620000" y="10845800"/>
          <a:ext cx="338667" cy="990600"/>
        </a:xfrm>
        <a:prstGeom prst="straightConnector1">
          <a:avLst/>
        </a:prstGeom>
        <a:ln w="381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189988</xdr:colOff>
      <xdr:row>58</xdr:row>
      <xdr:rowOff>93133</xdr:rowOff>
    </xdr:from>
    <xdr:to>
      <xdr:col>6</xdr:col>
      <xdr:colOff>309033</xdr:colOff>
      <xdr:row>74</xdr:row>
      <xdr:rowOff>42332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897"/>
        <a:stretch/>
      </xdr:blipFill>
      <xdr:spPr>
        <a:xfrm>
          <a:off x="189988" y="12810066"/>
          <a:ext cx="4293112" cy="3200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786225</xdr:colOff>
      <xdr:row>17</xdr:row>
      <xdr:rowOff>15857</xdr:rowOff>
    </xdr:from>
    <xdr:to>
      <xdr:col>5</xdr:col>
      <xdr:colOff>969017</xdr:colOff>
      <xdr:row>29</xdr:row>
      <xdr:rowOff>190867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23406</xdr:colOff>
      <xdr:row>5</xdr:row>
      <xdr:rowOff>20320</xdr:rowOff>
    </xdr:from>
    <xdr:to>
      <xdr:col>12</xdr:col>
      <xdr:colOff>1361439</xdr:colOff>
      <xdr:row>8</xdr:row>
      <xdr:rowOff>101600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6526" y="1056640"/>
          <a:ext cx="1338033" cy="690880"/>
        </a:xfrm>
        <a:prstGeom prst="rect">
          <a:avLst/>
        </a:prstGeom>
      </xdr:spPr>
    </xdr:pic>
    <xdr:clientData/>
  </xdr:twoCellAnchor>
  <xdr:twoCellAnchor>
    <xdr:from>
      <xdr:col>12</xdr:col>
      <xdr:colOff>934720</xdr:colOff>
      <xdr:row>2</xdr:row>
      <xdr:rowOff>111760</xdr:rowOff>
    </xdr:from>
    <xdr:to>
      <xdr:col>12</xdr:col>
      <xdr:colOff>944880</xdr:colOff>
      <xdr:row>5</xdr:row>
      <xdr:rowOff>142240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CxnSpPr/>
      </xdr:nvCxnSpPr>
      <xdr:spPr>
        <a:xfrm>
          <a:off x="10657840" y="528320"/>
          <a:ext cx="10160" cy="650240"/>
        </a:xfrm>
        <a:prstGeom prst="straightConnector1">
          <a:avLst/>
        </a:prstGeom>
        <a:ln w="28575">
          <a:solidFill>
            <a:schemeClr val="accent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2E4E-04A4-6346-82BD-FE5AEC91C4E3}">
  <dimension ref="B2:L58"/>
  <sheetViews>
    <sheetView showGridLines="0" topLeftCell="A8" zoomScale="120" zoomScaleNormal="120" workbookViewId="0">
      <selection activeCell="F8" sqref="F8"/>
    </sheetView>
  </sheetViews>
  <sheetFormatPr defaultColWidth="11" defaultRowHeight="15.5" x14ac:dyDescent="0.35"/>
  <cols>
    <col min="1" max="1" width="2.5" customWidth="1"/>
    <col min="2" max="2" width="12" customWidth="1"/>
    <col min="3" max="3" width="10.5" customWidth="1"/>
    <col min="4" max="4" width="11.1640625" customWidth="1"/>
    <col min="5" max="6" width="9.1640625" customWidth="1"/>
    <col min="7" max="7" width="12" customWidth="1"/>
    <col min="8" max="8" width="9.1640625" customWidth="1"/>
    <col min="9" max="9" width="18.33203125" customWidth="1"/>
  </cols>
  <sheetData>
    <row r="2" spans="2:9" ht="16" thickBot="1" x14ac:dyDescent="0.4">
      <c r="B2" s="31" t="s">
        <v>12</v>
      </c>
    </row>
    <row r="3" spans="2:9" x14ac:dyDescent="0.35">
      <c r="B3" s="27"/>
      <c r="C3" s="28"/>
      <c r="D3" s="179" t="s">
        <v>10</v>
      </c>
      <c r="E3" s="180"/>
      <c r="F3" s="12"/>
      <c r="G3" s="16" t="s">
        <v>1</v>
      </c>
      <c r="H3" s="17">
        <f>(D5+E6)/(D5+E5+D6+E6)</f>
        <v>0.8</v>
      </c>
      <c r="I3" s="45" t="s">
        <v>5</v>
      </c>
    </row>
    <row r="4" spans="2:9" x14ac:dyDescent="0.35">
      <c r="B4" s="29"/>
      <c r="C4" s="30"/>
      <c r="D4" s="15" t="s">
        <v>8</v>
      </c>
      <c r="E4" s="22" t="s">
        <v>9</v>
      </c>
      <c r="F4" s="10"/>
      <c r="G4" s="18" t="s">
        <v>2</v>
      </c>
      <c r="H4" s="19">
        <f>D5/(D5+D6)</f>
        <v>0.76</v>
      </c>
      <c r="I4" s="46" t="s">
        <v>6</v>
      </c>
    </row>
    <row r="5" spans="2:9" x14ac:dyDescent="0.35">
      <c r="B5" s="181" t="s">
        <v>11</v>
      </c>
      <c r="C5" s="15" t="s">
        <v>8</v>
      </c>
      <c r="D5" s="14">
        <v>38</v>
      </c>
      <c r="E5" s="23">
        <v>8</v>
      </c>
      <c r="F5" s="7"/>
      <c r="G5" s="18" t="s">
        <v>3</v>
      </c>
      <c r="H5" s="19">
        <f>D5/(D5+E5)</f>
        <v>0.82608695652173914</v>
      </c>
      <c r="I5" s="46" t="s">
        <v>7</v>
      </c>
    </row>
    <row r="6" spans="2:9" ht="16" thickBot="1" x14ac:dyDescent="0.4">
      <c r="B6" s="182"/>
      <c r="C6" s="24" t="s">
        <v>9</v>
      </c>
      <c r="D6" s="25">
        <v>12</v>
      </c>
      <c r="E6" s="26">
        <v>42</v>
      </c>
      <c r="F6" s="7"/>
      <c r="G6" s="20" t="s">
        <v>4</v>
      </c>
      <c r="H6" s="21">
        <f>2*(H4*H5)/(H4+H5)</f>
        <v>0.79166666666666674</v>
      </c>
      <c r="I6" s="47"/>
    </row>
    <row r="7" spans="2:9" x14ac:dyDescent="0.35">
      <c r="C7" s="11"/>
      <c r="I7" s="48"/>
    </row>
    <row r="8" spans="2:9" ht="16" thickBot="1" x14ac:dyDescent="0.4">
      <c r="B8" s="31" t="s">
        <v>13</v>
      </c>
      <c r="I8" s="48"/>
    </row>
    <row r="9" spans="2:9" x14ac:dyDescent="0.35">
      <c r="B9" s="27"/>
      <c r="C9" s="28"/>
      <c r="D9" s="179" t="s">
        <v>10</v>
      </c>
      <c r="E9" s="180"/>
      <c r="F9" s="12"/>
      <c r="G9" s="16" t="s">
        <v>1</v>
      </c>
      <c r="H9" s="17">
        <f>(D11+E12)/(D11+E11+D12+E12)</f>
        <v>0.89</v>
      </c>
      <c r="I9" s="45" t="s">
        <v>5</v>
      </c>
    </row>
    <row r="10" spans="2:9" ht="17" customHeight="1" x14ac:dyDescent="0.35">
      <c r="B10" s="29"/>
      <c r="C10" s="30"/>
      <c r="D10" s="15" t="s">
        <v>8</v>
      </c>
      <c r="E10" s="22" t="s">
        <v>9</v>
      </c>
      <c r="F10" s="10"/>
      <c r="G10" s="18" t="s">
        <v>2</v>
      </c>
      <c r="H10" s="19">
        <f>D11/(D11+D12)</f>
        <v>0.8</v>
      </c>
      <c r="I10" s="46" t="s">
        <v>6</v>
      </c>
    </row>
    <row r="11" spans="2:9" x14ac:dyDescent="0.35">
      <c r="B11" s="181" t="s">
        <v>11</v>
      </c>
      <c r="C11" s="15" t="s">
        <v>8</v>
      </c>
      <c r="D11" s="14">
        <v>4</v>
      </c>
      <c r="E11" s="23">
        <v>10</v>
      </c>
      <c r="F11" s="7"/>
      <c r="G11" s="18" t="s">
        <v>3</v>
      </c>
      <c r="H11" s="19">
        <f>D11/(D11+E11)</f>
        <v>0.2857142857142857</v>
      </c>
      <c r="I11" s="46" t="s">
        <v>7</v>
      </c>
    </row>
    <row r="12" spans="2:9" ht="16" thickBot="1" x14ac:dyDescent="0.4">
      <c r="B12" s="182"/>
      <c r="C12" s="24" t="s">
        <v>9</v>
      </c>
      <c r="D12" s="25">
        <v>1</v>
      </c>
      <c r="E12" s="26">
        <v>85</v>
      </c>
      <c r="F12" s="7"/>
      <c r="G12" s="20" t="s">
        <v>4</v>
      </c>
      <c r="H12" s="21">
        <f>2*(H10*H11)/(H10+H11)</f>
        <v>0.42105263157894729</v>
      </c>
      <c r="I12" s="47"/>
    </row>
    <row r="16" spans="2:9" ht="21" x14ac:dyDescent="0.5">
      <c r="B16" s="139" t="s">
        <v>14</v>
      </c>
    </row>
    <row r="17" spans="2:11" ht="65" customHeight="1" x14ac:dyDescent="0.35">
      <c r="B17" s="187" t="s">
        <v>48</v>
      </c>
      <c r="C17" s="187"/>
      <c r="D17" s="187"/>
      <c r="E17" s="187"/>
      <c r="F17" s="187"/>
      <c r="G17" s="187"/>
      <c r="H17" s="187"/>
      <c r="I17" s="187"/>
    </row>
    <row r="18" spans="2:11" ht="16" thickBot="1" x14ac:dyDescent="0.4">
      <c r="B18" s="32"/>
      <c r="C18" s="32"/>
      <c r="D18" s="32"/>
      <c r="E18" s="32"/>
      <c r="F18" s="32"/>
      <c r="G18" s="174" t="s">
        <v>51</v>
      </c>
      <c r="H18" s="174"/>
      <c r="I18" s="174"/>
    </row>
    <row r="19" spans="2:11" ht="16" thickBot="1" x14ac:dyDescent="0.4">
      <c r="B19" s="8" t="s">
        <v>34</v>
      </c>
      <c r="G19" s="183" t="s">
        <v>30</v>
      </c>
      <c r="H19" s="184"/>
      <c r="I19" s="55">
        <v>5</v>
      </c>
    </row>
    <row r="20" spans="2:11" x14ac:dyDescent="0.35">
      <c r="B20" s="37" t="s">
        <v>37</v>
      </c>
      <c r="C20" s="39" t="s">
        <v>16</v>
      </c>
      <c r="D20" s="38" t="s">
        <v>15</v>
      </c>
      <c r="G20" s="56"/>
      <c r="H20" s="56"/>
      <c r="I20" s="6"/>
    </row>
    <row r="21" spans="2:11" ht="16" thickBot="1" x14ac:dyDescent="0.4">
      <c r="B21" s="49" t="s">
        <v>17</v>
      </c>
      <c r="C21" s="50">
        <v>34</v>
      </c>
      <c r="D21" s="51">
        <v>2</v>
      </c>
      <c r="G21" s="8" t="s">
        <v>108</v>
      </c>
    </row>
    <row r="22" spans="2:11" x14ac:dyDescent="0.35">
      <c r="B22" s="49" t="s">
        <v>18</v>
      </c>
      <c r="C22" s="50">
        <v>74</v>
      </c>
      <c r="D22" s="51">
        <v>6</v>
      </c>
      <c r="G22" s="27"/>
      <c r="H22" s="28"/>
      <c r="I22" s="179" t="s">
        <v>10</v>
      </c>
      <c r="J22" s="180"/>
    </row>
    <row r="23" spans="2:11" x14ac:dyDescent="0.35">
      <c r="B23" s="49" t="s">
        <v>19</v>
      </c>
      <c r="C23" s="50">
        <v>100</v>
      </c>
      <c r="D23" s="51">
        <v>10</v>
      </c>
      <c r="G23" s="29"/>
      <c r="H23" s="30"/>
      <c r="I23" s="15" t="s">
        <v>28</v>
      </c>
      <c r="J23" s="22" t="s">
        <v>29</v>
      </c>
    </row>
    <row r="24" spans="2:11" x14ac:dyDescent="0.35">
      <c r="B24" s="49" t="s">
        <v>20</v>
      </c>
      <c r="C24" s="50">
        <v>127</v>
      </c>
      <c r="D24" s="51">
        <v>12</v>
      </c>
      <c r="G24" s="181" t="s">
        <v>11</v>
      </c>
      <c r="H24" s="15" t="s">
        <v>28</v>
      </c>
      <c r="I24" s="14">
        <f>SUM(C21:C25)</f>
        <v>488</v>
      </c>
      <c r="J24" s="23">
        <f>SUM(D21:D25)</f>
        <v>53</v>
      </c>
      <c r="K24" s="7">
        <f>I24+J24</f>
        <v>541</v>
      </c>
    </row>
    <row r="25" spans="2:11" ht="16" thickBot="1" x14ac:dyDescent="0.4">
      <c r="B25" s="49" t="s">
        <v>21</v>
      </c>
      <c r="C25" s="50">
        <v>153</v>
      </c>
      <c r="D25" s="51">
        <v>23</v>
      </c>
      <c r="G25" s="182"/>
      <c r="H25" s="24" t="s">
        <v>29</v>
      </c>
      <c r="I25" s="25">
        <f>C31-I24</f>
        <v>143</v>
      </c>
      <c r="J25" s="26">
        <f>D31-J24</f>
        <v>216</v>
      </c>
      <c r="K25" s="7">
        <f>I25+J25</f>
        <v>359</v>
      </c>
    </row>
    <row r="26" spans="2:11" x14ac:dyDescent="0.35">
      <c r="B26" s="33" t="s">
        <v>22</v>
      </c>
      <c r="C26" s="40">
        <v>114</v>
      </c>
      <c r="D26" s="34">
        <v>55</v>
      </c>
      <c r="I26" s="7">
        <f>I24+I25</f>
        <v>631</v>
      </c>
      <c r="J26" s="7">
        <f>J24+J25</f>
        <v>269</v>
      </c>
      <c r="K26" s="3">
        <f>I26+J26</f>
        <v>900</v>
      </c>
    </row>
    <row r="27" spans="2:11" ht="16" thickBot="1" x14ac:dyDescent="0.4">
      <c r="B27" s="33" t="s">
        <v>23</v>
      </c>
      <c r="C27" s="40">
        <v>19</v>
      </c>
      <c r="D27" s="34">
        <v>75</v>
      </c>
      <c r="G27" s="175" t="s">
        <v>35</v>
      </c>
      <c r="H27" s="175"/>
      <c r="I27" s="175"/>
    </row>
    <row r="28" spans="2:11" x14ac:dyDescent="0.35">
      <c r="B28" s="33" t="s">
        <v>24</v>
      </c>
      <c r="C28" s="40">
        <v>6</v>
      </c>
      <c r="D28" s="34">
        <v>41</v>
      </c>
      <c r="G28" s="185" t="s">
        <v>1</v>
      </c>
      <c r="H28" s="186"/>
      <c r="I28" s="125">
        <f>(I24+J25)/K26</f>
        <v>0.78222222222222226</v>
      </c>
    </row>
    <row r="29" spans="2:11" x14ac:dyDescent="0.35">
      <c r="B29" s="33" t="s">
        <v>25</v>
      </c>
      <c r="C29" s="40">
        <v>4</v>
      </c>
      <c r="D29" s="34">
        <v>30</v>
      </c>
      <c r="G29" s="170" t="s">
        <v>104</v>
      </c>
      <c r="H29" s="171"/>
      <c r="I29" s="53">
        <f>J25/J26</f>
        <v>0.80297397769516732</v>
      </c>
    </row>
    <row r="30" spans="2:11" x14ac:dyDescent="0.35">
      <c r="B30" s="42" t="s">
        <v>26</v>
      </c>
      <c r="C30" s="43">
        <v>0</v>
      </c>
      <c r="D30" s="44">
        <v>15</v>
      </c>
      <c r="G30" s="52" t="s">
        <v>31</v>
      </c>
      <c r="H30" s="13"/>
      <c r="I30" s="53">
        <f>I24/I26</f>
        <v>0.77337559429477021</v>
      </c>
    </row>
    <row r="31" spans="2:11" ht="16" thickBot="1" x14ac:dyDescent="0.4">
      <c r="B31" s="35" t="s">
        <v>27</v>
      </c>
      <c r="C31" s="41">
        <f>SUM(C21:C30)</f>
        <v>631</v>
      </c>
      <c r="D31" s="36">
        <f>SUM(D21:D30)</f>
        <v>269</v>
      </c>
      <c r="G31" s="170" t="s">
        <v>105</v>
      </c>
      <c r="H31" s="171"/>
      <c r="I31" s="53">
        <f>I25/I26</f>
        <v>0.22662440570522979</v>
      </c>
    </row>
    <row r="32" spans="2:11" x14ac:dyDescent="0.35">
      <c r="G32" s="170" t="s">
        <v>32</v>
      </c>
      <c r="H32" s="171"/>
      <c r="I32" s="53">
        <f>J25/K25</f>
        <v>0.60167130919220058</v>
      </c>
    </row>
    <row r="33" spans="2:12" ht="16" thickBot="1" x14ac:dyDescent="0.4">
      <c r="G33" s="172" t="s">
        <v>33</v>
      </c>
      <c r="H33" s="173"/>
      <c r="I33" s="54">
        <f>I24/K24</f>
        <v>0.9020332717190388</v>
      </c>
    </row>
    <row r="36" spans="2:12" ht="16" thickBot="1" x14ac:dyDescent="0.4">
      <c r="B36" s="8" t="s">
        <v>36</v>
      </c>
      <c r="K36" s="8" t="s">
        <v>43</v>
      </c>
      <c r="L36" s="8"/>
    </row>
    <row r="37" spans="2:12" ht="16" thickBot="1" x14ac:dyDescent="0.4">
      <c r="B37" s="60"/>
      <c r="C37" s="176" t="s">
        <v>38</v>
      </c>
      <c r="D37" s="176"/>
      <c r="E37" s="177" t="s">
        <v>39</v>
      </c>
      <c r="F37" s="178"/>
      <c r="G37" s="61"/>
      <c r="H37" s="61"/>
      <c r="I37" s="62"/>
      <c r="J37" s="126"/>
    </row>
    <row r="38" spans="2:12" x14ac:dyDescent="0.35">
      <c r="B38" s="37" t="s">
        <v>37</v>
      </c>
      <c r="C38" s="39" t="s">
        <v>16</v>
      </c>
      <c r="D38" s="38" t="s">
        <v>15</v>
      </c>
      <c r="E38" s="63" t="s">
        <v>16</v>
      </c>
      <c r="F38" s="66" t="s">
        <v>15</v>
      </c>
      <c r="G38" s="68" t="s">
        <v>40</v>
      </c>
      <c r="H38" s="69" t="s">
        <v>41</v>
      </c>
      <c r="I38" s="70" t="s">
        <v>42</v>
      </c>
      <c r="J38" s="127" t="s">
        <v>102</v>
      </c>
    </row>
    <row r="39" spans="2:12" x14ac:dyDescent="0.35">
      <c r="B39" s="57"/>
      <c r="C39" s="58"/>
      <c r="D39" s="59"/>
      <c r="E39" s="64">
        <v>0</v>
      </c>
      <c r="F39" s="5">
        <v>0</v>
      </c>
      <c r="G39" s="77">
        <f>1-E39/E$49</f>
        <v>1</v>
      </c>
      <c r="H39" s="78">
        <f>1-F39/F$49</f>
        <v>1</v>
      </c>
      <c r="I39" s="74">
        <f>(G39-G40)*H39</f>
        <v>5.3882725832012701E-2</v>
      </c>
      <c r="J39" s="128">
        <f>H39-G39</f>
        <v>0</v>
      </c>
    </row>
    <row r="40" spans="2:12" x14ac:dyDescent="0.35">
      <c r="B40" s="33" t="s">
        <v>17</v>
      </c>
      <c r="C40" s="40">
        <v>34</v>
      </c>
      <c r="D40" s="34">
        <v>2</v>
      </c>
      <c r="E40" s="64">
        <f>E39+C40</f>
        <v>34</v>
      </c>
      <c r="F40" s="5">
        <f>F39+D40</f>
        <v>2</v>
      </c>
      <c r="G40" s="77">
        <f>1-E40/E$49</f>
        <v>0.9461172741679873</v>
      </c>
      <c r="H40" s="78">
        <f>1-F40/F$49</f>
        <v>0.99256505576208176</v>
      </c>
      <c r="I40" s="74">
        <f>(G40-G41)*H40</f>
        <v>0.11640224108778771</v>
      </c>
      <c r="J40" s="128">
        <f t="shared" ref="J40:J49" si="0">H40-G40</f>
        <v>4.6447781594094462E-2</v>
      </c>
    </row>
    <row r="41" spans="2:12" x14ac:dyDescent="0.35">
      <c r="B41" s="33" t="s">
        <v>18</v>
      </c>
      <c r="C41" s="40">
        <v>74</v>
      </c>
      <c r="D41" s="34">
        <v>6</v>
      </c>
      <c r="E41" s="64">
        <f>E40+C41</f>
        <v>108</v>
      </c>
      <c r="F41" s="5">
        <f t="shared" ref="F41:F49" si="1">F40+D41</f>
        <v>8</v>
      </c>
      <c r="G41" s="77">
        <f>1-E41/E$49</f>
        <v>0.82884310618066559</v>
      </c>
      <c r="H41" s="78">
        <f t="shared" ref="H41:H49" si="2">1-F41/F$49</f>
        <v>0.97026022304832715</v>
      </c>
      <c r="I41" s="74">
        <f>(G41-G42)*H41</f>
        <v>0.1537654870124131</v>
      </c>
      <c r="J41" s="128">
        <f t="shared" si="0"/>
        <v>0.14141711686766156</v>
      </c>
    </row>
    <row r="42" spans="2:12" x14ac:dyDescent="0.35">
      <c r="B42" s="33" t="s">
        <v>19</v>
      </c>
      <c r="C42" s="40">
        <v>100</v>
      </c>
      <c r="D42" s="34">
        <v>10</v>
      </c>
      <c r="E42" s="64">
        <f>E41+C42</f>
        <v>208</v>
      </c>
      <c r="F42" s="5">
        <f>F41+D42</f>
        <v>18</v>
      </c>
      <c r="G42" s="77">
        <f t="shared" ref="G42:G49" si="3">1-E42/E$49</f>
        <v>0.67036450079239307</v>
      </c>
      <c r="H42" s="78">
        <f t="shared" si="2"/>
        <v>0.93308550185873607</v>
      </c>
      <c r="I42" s="74">
        <f>(G42-G43)*H42</f>
        <v>0.18780009308408796</v>
      </c>
      <c r="J42" s="128">
        <f t="shared" si="0"/>
        <v>0.262721001066343</v>
      </c>
    </row>
    <row r="43" spans="2:12" x14ac:dyDescent="0.35">
      <c r="B43" s="33" t="s">
        <v>20</v>
      </c>
      <c r="C43" s="40">
        <v>127</v>
      </c>
      <c r="D43" s="34">
        <v>12</v>
      </c>
      <c r="E43" s="64">
        <f>E42+C43</f>
        <v>335</v>
      </c>
      <c r="F43" s="5">
        <f t="shared" si="1"/>
        <v>30</v>
      </c>
      <c r="G43" s="77">
        <f t="shared" si="3"/>
        <v>0.46909667194928684</v>
      </c>
      <c r="H43" s="78">
        <f t="shared" si="2"/>
        <v>0.88847583643122674</v>
      </c>
      <c r="I43" s="74">
        <f t="shared" ref="I43:I49" si="4">(G43-G44)*H43</f>
        <v>0.21543074956256369</v>
      </c>
      <c r="J43" s="128">
        <f t="shared" si="0"/>
        <v>0.4193791644819399</v>
      </c>
    </row>
    <row r="44" spans="2:12" x14ac:dyDescent="0.35">
      <c r="B44" s="131" t="s">
        <v>21</v>
      </c>
      <c r="C44" s="132">
        <v>153</v>
      </c>
      <c r="D44" s="133">
        <v>23</v>
      </c>
      <c r="E44" s="134">
        <f t="shared" ref="E44:E49" si="5">E43+C44</f>
        <v>488</v>
      </c>
      <c r="F44" s="135">
        <f t="shared" si="1"/>
        <v>53</v>
      </c>
      <c r="G44" s="136">
        <f>1-E44/E$49</f>
        <v>0.22662440570522979</v>
      </c>
      <c r="H44" s="137">
        <f t="shared" si="2"/>
        <v>0.80297397769516732</v>
      </c>
      <c r="I44" s="138">
        <f t="shared" si="4"/>
        <v>0.14506978360895256</v>
      </c>
      <c r="J44" s="130">
        <f t="shared" si="0"/>
        <v>0.57634957198993753</v>
      </c>
    </row>
    <row r="45" spans="2:12" x14ac:dyDescent="0.35">
      <c r="B45" s="33" t="s">
        <v>22</v>
      </c>
      <c r="C45" s="40">
        <v>114</v>
      </c>
      <c r="D45" s="34">
        <v>55</v>
      </c>
      <c r="E45" s="64">
        <f t="shared" si="5"/>
        <v>602</v>
      </c>
      <c r="F45" s="5">
        <f t="shared" si="1"/>
        <v>108</v>
      </c>
      <c r="G45" s="77">
        <f t="shared" si="3"/>
        <v>4.5958795562599075E-2</v>
      </c>
      <c r="H45" s="78">
        <f t="shared" si="2"/>
        <v>0.5985130111524164</v>
      </c>
      <c r="I45" s="74">
        <f t="shared" si="4"/>
        <v>1.8021786389692429E-2</v>
      </c>
      <c r="J45" s="128">
        <f t="shared" si="0"/>
        <v>0.55255421558981732</v>
      </c>
    </row>
    <row r="46" spans="2:12" x14ac:dyDescent="0.35">
      <c r="B46" s="33" t="s">
        <v>23</v>
      </c>
      <c r="C46" s="40">
        <v>19</v>
      </c>
      <c r="D46" s="34">
        <v>75</v>
      </c>
      <c r="E46" s="64">
        <f t="shared" si="5"/>
        <v>621</v>
      </c>
      <c r="F46" s="5">
        <f t="shared" si="1"/>
        <v>183</v>
      </c>
      <c r="G46" s="77">
        <f t="shared" si="3"/>
        <v>1.5847860538827252E-2</v>
      </c>
      <c r="H46" s="78">
        <f t="shared" si="2"/>
        <v>0.3197026022304833</v>
      </c>
      <c r="I46" s="74">
        <f t="shared" si="4"/>
        <v>3.0399613524293026E-3</v>
      </c>
      <c r="J46" s="128">
        <f t="shared" si="0"/>
        <v>0.30385474169165605</v>
      </c>
    </row>
    <row r="47" spans="2:12" x14ac:dyDescent="0.35">
      <c r="B47" s="33" t="s">
        <v>24</v>
      </c>
      <c r="C47" s="40">
        <v>6</v>
      </c>
      <c r="D47" s="34">
        <v>41</v>
      </c>
      <c r="E47" s="64">
        <f t="shared" si="5"/>
        <v>627</v>
      </c>
      <c r="F47" s="5">
        <f t="shared" si="1"/>
        <v>224</v>
      </c>
      <c r="G47" s="77">
        <f t="shared" si="3"/>
        <v>6.3391442155309452E-3</v>
      </c>
      <c r="H47" s="78">
        <f>1-F47/F$49</f>
        <v>0.16728624535315983</v>
      </c>
      <c r="I47" s="74">
        <f t="shared" si="4"/>
        <v>1.0604516345683736E-3</v>
      </c>
      <c r="J47" s="128">
        <f t="shared" si="0"/>
        <v>0.16094710113762889</v>
      </c>
    </row>
    <row r="48" spans="2:12" x14ac:dyDescent="0.35">
      <c r="B48" s="33" t="s">
        <v>25</v>
      </c>
      <c r="C48" s="40">
        <v>4</v>
      </c>
      <c r="D48" s="34">
        <v>30</v>
      </c>
      <c r="E48" s="64">
        <f t="shared" si="5"/>
        <v>631</v>
      </c>
      <c r="F48" s="5">
        <f t="shared" si="1"/>
        <v>254</v>
      </c>
      <c r="G48" s="77">
        <f t="shared" si="3"/>
        <v>0</v>
      </c>
      <c r="H48" s="78">
        <f t="shared" si="2"/>
        <v>5.5762081784386575E-2</v>
      </c>
      <c r="I48" s="74">
        <f t="shared" si="4"/>
        <v>0</v>
      </c>
      <c r="J48" s="128">
        <f t="shared" si="0"/>
        <v>5.5762081784386575E-2</v>
      </c>
    </row>
    <row r="49" spans="2:12" ht="16" thickBot="1" x14ac:dyDescent="0.4">
      <c r="B49" s="42" t="s">
        <v>26</v>
      </c>
      <c r="C49" s="43">
        <v>0</v>
      </c>
      <c r="D49" s="44">
        <v>15</v>
      </c>
      <c r="E49" s="29">
        <f t="shared" si="5"/>
        <v>631</v>
      </c>
      <c r="F49" s="67">
        <f t="shared" si="1"/>
        <v>269</v>
      </c>
      <c r="G49" s="79">
        <f t="shared" si="3"/>
        <v>0</v>
      </c>
      <c r="H49" s="80">
        <f t="shared" si="2"/>
        <v>0</v>
      </c>
      <c r="I49" s="75">
        <f t="shared" si="4"/>
        <v>0</v>
      </c>
      <c r="J49" s="129">
        <f t="shared" si="0"/>
        <v>0</v>
      </c>
    </row>
    <row r="50" spans="2:12" ht="16" thickBot="1" x14ac:dyDescent="0.4">
      <c r="B50" s="35" t="s">
        <v>27</v>
      </c>
      <c r="C50" s="41">
        <f>SUM(C40:C49)</f>
        <v>631</v>
      </c>
      <c r="D50" s="36">
        <f>SUM(D40:D49)</f>
        <v>269</v>
      </c>
      <c r="E50" s="65"/>
      <c r="F50" s="9"/>
      <c r="G50" s="73"/>
      <c r="H50" s="73"/>
      <c r="I50" s="76">
        <f>SUM(I39:I49)</f>
        <v>0.89447327956450795</v>
      </c>
    </row>
    <row r="51" spans="2:12" x14ac:dyDescent="0.35">
      <c r="I51" s="71" t="s">
        <v>44</v>
      </c>
    </row>
    <row r="53" spans="2:12" ht="16" thickBot="1" x14ac:dyDescent="0.4">
      <c r="B53" s="169" t="s">
        <v>50</v>
      </c>
      <c r="C53" s="169"/>
      <c r="D53" s="169"/>
      <c r="K53" s="163" t="s">
        <v>103</v>
      </c>
      <c r="L53" s="164"/>
    </row>
    <row r="54" spans="2:12" x14ac:dyDescent="0.35">
      <c r="B54" s="27" t="s">
        <v>45</v>
      </c>
      <c r="C54" s="61"/>
      <c r="D54" s="61"/>
      <c r="E54" s="61"/>
      <c r="F54" s="61"/>
      <c r="G54" s="61"/>
      <c r="H54" s="61"/>
      <c r="I54" s="62"/>
      <c r="K54" s="165"/>
      <c r="L54" s="166"/>
    </row>
    <row r="55" spans="2:12" x14ac:dyDescent="0.35">
      <c r="B55" s="64" t="s">
        <v>46</v>
      </c>
      <c r="I55" s="34"/>
      <c r="K55" s="165"/>
      <c r="L55" s="166"/>
    </row>
    <row r="56" spans="2:12" x14ac:dyDescent="0.35">
      <c r="B56" s="64" t="s">
        <v>49</v>
      </c>
      <c r="I56" s="34"/>
      <c r="K56" s="167"/>
      <c r="L56" s="168"/>
    </row>
    <row r="57" spans="2:12" x14ac:dyDescent="0.35">
      <c r="B57" s="64" t="s">
        <v>106</v>
      </c>
      <c r="I57" s="34"/>
    </row>
    <row r="58" spans="2:12" ht="16" thickBot="1" x14ac:dyDescent="0.4">
      <c r="B58" s="72" t="s">
        <v>47</v>
      </c>
      <c r="C58" s="9"/>
      <c r="D58" s="9"/>
      <c r="E58" s="9"/>
      <c r="F58" s="9"/>
      <c r="G58" s="9"/>
      <c r="H58" s="9"/>
      <c r="I58" s="36"/>
    </row>
  </sheetData>
  <mergeCells count="19">
    <mergeCell ref="D3:E3"/>
    <mergeCell ref="B5:B6"/>
    <mergeCell ref="D9:E9"/>
    <mergeCell ref="B11:B12"/>
    <mergeCell ref="B17:I17"/>
    <mergeCell ref="K53:L56"/>
    <mergeCell ref="B53:D53"/>
    <mergeCell ref="G32:H32"/>
    <mergeCell ref="G33:H33"/>
    <mergeCell ref="G18:I18"/>
    <mergeCell ref="G27:I27"/>
    <mergeCell ref="C37:D37"/>
    <mergeCell ref="E37:F37"/>
    <mergeCell ref="I22:J22"/>
    <mergeCell ref="G24:G25"/>
    <mergeCell ref="G19:H19"/>
    <mergeCell ref="G28:H28"/>
    <mergeCell ref="G29:H29"/>
    <mergeCell ref="G31:H31"/>
  </mergeCells>
  <conditionalFormatting sqref="J39:J4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{24AA0E91-E5C6-0C49-AAC6-39D96D0EA905}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AA0E91-E5C6-0C49-AAC6-39D96D0EA9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J39:J49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3F5C-1E59-AF49-B834-23D80F457C11}">
  <dimension ref="B1:I9"/>
  <sheetViews>
    <sheetView showGridLines="0" zoomScale="120" zoomScaleNormal="120" workbookViewId="0">
      <selection activeCell="H6" sqref="H6"/>
    </sheetView>
  </sheetViews>
  <sheetFormatPr defaultColWidth="11" defaultRowHeight="15.5" x14ac:dyDescent="0.35"/>
  <cols>
    <col min="1" max="1" width="4" customWidth="1"/>
    <col min="2" max="2" width="3.83203125" customWidth="1"/>
  </cols>
  <sheetData>
    <row r="1" spans="2:9" ht="16" thickBot="1" x14ac:dyDescent="0.4"/>
    <row r="2" spans="2:9" s="81" customFormat="1" ht="60" customHeight="1" x14ac:dyDescent="0.35">
      <c r="B2" s="188" t="s">
        <v>58</v>
      </c>
      <c r="C2" s="84" t="s">
        <v>52</v>
      </c>
      <c r="D2" s="85">
        <v>0.91</v>
      </c>
      <c r="E2" s="86">
        <v>0.65</v>
      </c>
      <c r="F2" s="86">
        <v>0.55000000000000004</v>
      </c>
      <c r="G2" s="86">
        <v>0.05</v>
      </c>
      <c r="H2" s="86">
        <v>0.05</v>
      </c>
      <c r="I2" s="87">
        <v>0.35</v>
      </c>
    </row>
    <row r="3" spans="2:9" s="81" customFormat="1" ht="60" customHeight="1" x14ac:dyDescent="0.35">
      <c r="B3" s="189"/>
      <c r="C3" s="88" t="s">
        <v>53</v>
      </c>
      <c r="D3" s="89">
        <v>0.61</v>
      </c>
      <c r="E3" s="90">
        <v>0.88</v>
      </c>
      <c r="F3" s="91">
        <v>0.3</v>
      </c>
      <c r="G3" s="91">
        <v>0.1</v>
      </c>
      <c r="H3" s="91">
        <v>0.1</v>
      </c>
      <c r="I3" s="92">
        <v>0.31</v>
      </c>
    </row>
    <row r="4" spans="2:9" s="81" customFormat="1" ht="60" customHeight="1" x14ac:dyDescent="0.35">
      <c r="B4" s="189"/>
      <c r="C4" s="88" t="s">
        <v>54</v>
      </c>
      <c r="D4" s="89">
        <v>0.55000000000000004</v>
      </c>
      <c r="E4" s="90">
        <v>0.35</v>
      </c>
      <c r="F4" s="90">
        <v>0.85</v>
      </c>
      <c r="G4" s="90">
        <v>0.01</v>
      </c>
      <c r="H4" s="90">
        <v>0.01</v>
      </c>
      <c r="I4" s="92">
        <v>0.28000000000000003</v>
      </c>
    </row>
    <row r="5" spans="2:9" s="81" customFormat="1" ht="60" customHeight="1" x14ac:dyDescent="0.35">
      <c r="B5" s="189"/>
      <c r="C5" s="88" t="s">
        <v>55</v>
      </c>
      <c r="D5" s="89">
        <v>0.05</v>
      </c>
      <c r="E5" s="90">
        <v>0.1</v>
      </c>
      <c r="F5" s="90">
        <v>0.01</v>
      </c>
      <c r="G5" s="90">
        <v>0.85</v>
      </c>
      <c r="H5" s="91">
        <v>0.6</v>
      </c>
      <c r="I5" s="92">
        <v>0.01</v>
      </c>
    </row>
    <row r="6" spans="2:9" s="81" customFormat="1" ht="60" customHeight="1" x14ac:dyDescent="0.35">
      <c r="B6" s="189"/>
      <c r="C6" s="88" t="s">
        <v>56</v>
      </c>
      <c r="D6" s="89">
        <v>0.04</v>
      </c>
      <c r="E6" s="90">
        <v>0.1</v>
      </c>
      <c r="F6" s="90">
        <v>0.01</v>
      </c>
      <c r="G6" s="90">
        <v>0.55000000000000004</v>
      </c>
      <c r="H6" s="91">
        <v>0.8</v>
      </c>
      <c r="I6" s="92">
        <v>0.05</v>
      </c>
    </row>
    <row r="7" spans="2:9" s="81" customFormat="1" ht="60" customHeight="1" x14ac:dyDescent="0.35">
      <c r="B7" s="190"/>
      <c r="C7" s="93" t="s">
        <v>57</v>
      </c>
      <c r="D7" s="94">
        <v>0.15</v>
      </c>
      <c r="E7" s="95">
        <v>0.1</v>
      </c>
      <c r="F7" s="95">
        <v>0.25</v>
      </c>
      <c r="G7" s="95">
        <v>0.01</v>
      </c>
      <c r="H7" s="95">
        <v>0.01</v>
      </c>
      <c r="I7" s="96">
        <v>0.85</v>
      </c>
    </row>
    <row r="8" spans="2:9" ht="54" x14ac:dyDescent="0.45">
      <c r="B8" s="102"/>
      <c r="C8" s="97"/>
      <c r="D8" s="98" t="s">
        <v>52</v>
      </c>
      <c r="E8" s="88" t="s">
        <v>53</v>
      </c>
      <c r="F8" s="88" t="s">
        <v>54</v>
      </c>
      <c r="G8" s="88" t="s">
        <v>55</v>
      </c>
      <c r="H8" s="88" t="s">
        <v>56</v>
      </c>
      <c r="I8" s="99" t="s">
        <v>57</v>
      </c>
    </row>
    <row r="9" spans="2:9" ht="19" thickBot="1" x14ac:dyDescent="0.5">
      <c r="B9" s="100"/>
      <c r="C9" s="101"/>
      <c r="D9" s="191" t="s">
        <v>59</v>
      </c>
      <c r="E9" s="192"/>
      <c r="F9" s="192"/>
      <c r="G9" s="192"/>
      <c r="H9" s="192"/>
      <c r="I9" s="193"/>
    </row>
  </sheetData>
  <mergeCells count="2">
    <mergeCell ref="B2:B7"/>
    <mergeCell ref="D9:I9"/>
  </mergeCells>
  <conditionalFormatting sqref="D2:I7">
    <cfRule type="colorScale" priority="1">
      <colorScale>
        <cfvo type="min"/>
        <cfvo type="max"/>
        <color theme="4" tint="0.79998168889431442"/>
        <color theme="4" tint="-0.499984740745262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BBBE-0764-7046-8368-053AB1B36386}">
  <dimension ref="B1:H17"/>
  <sheetViews>
    <sheetView topLeftCell="A2" zoomScale="120" zoomScaleNormal="120" workbookViewId="0">
      <selection activeCell="E16" sqref="E16"/>
    </sheetView>
  </sheetViews>
  <sheetFormatPr defaultColWidth="11" defaultRowHeight="15.5" x14ac:dyDescent="0.35"/>
  <cols>
    <col min="1" max="1" width="2.6640625" customWidth="1"/>
    <col min="3" max="3" width="17.33203125" bestFit="1" customWidth="1"/>
    <col min="4" max="4" width="19.6640625" bestFit="1" customWidth="1"/>
    <col min="5" max="5" width="13.6640625" bestFit="1" customWidth="1"/>
    <col min="6" max="6" width="13.6640625" customWidth="1"/>
    <col min="7" max="7" width="15.6640625" bestFit="1" customWidth="1"/>
    <col min="8" max="8" width="13.6640625" customWidth="1"/>
  </cols>
  <sheetData>
    <row r="1" spans="2:8" ht="16" thickBot="1" x14ac:dyDescent="0.4"/>
    <row r="2" spans="2:8" x14ac:dyDescent="0.35">
      <c r="B2" s="104"/>
      <c r="C2" s="194" t="s">
        <v>75</v>
      </c>
      <c r="D2" s="195"/>
      <c r="E2" s="105"/>
      <c r="F2" s="106"/>
      <c r="G2" s="106"/>
      <c r="H2" s="112"/>
    </row>
    <row r="3" spans="2:8" x14ac:dyDescent="0.35">
      <c r="B3" s="18" t="s">
        <v>60</v>
      </c>
      <c r="C3" s="4" t="s">
        <v>61</v>
      </c>
      <c r="D3" s="115" t="s">
        <v>62</v>
      </c>
      <c r="E3" s="4" t="s">
        <v>76</v>
      </c>
      <c r="F3" s="1" t="s">
        <v>78</v>
      </c>
      <c r="G3" s="1" t="s">
        <v>77</v>
      </c>
      <c r="H3" s="34"/>
    </row>
    <row r="4" spans="2:8" x14ac:dyDescent="0.35">
      <c r="B4" s="64" t="s">
        <v>63</v>
      </c>
      <c r="C4" s="5">
        <v>5</v>
      </c>
      <c r="D4" s="116">
        <v>6</v>
      </c>
      <c r="E4" s="5">
        <f>ABS(D4-C4)</f>
        <v>1</v>
      </c>
      <c r="F4" s="107">
        <f>ABS(D4-C4)/C4</f>
        <v>0.2</v>
      </c>
      <c r="G4">
        <f>(D4-C4)^2</f>
        <v>1</v>
      </c>
      <c r="H4" s="34"/>
    </row>
    <row r="5" spans="2:8" x14ac:dyDescent="0.35">
      <c r="B5" s="64" t="s">
        <v>74</v>
      </c>
      <c r="C5" s="5">
        <v>8</v>
      </c>
      <c r="D5" s="116">
        <v>8.5</v>
      </c>
      <c r="E5" s="5">
        <f t="shared" ref="E5:E15" si="0">ABS(D5-C5)</f>
        <v>0.5</v>
      </c>
      <c r="F5" s="107">
        <f t="shared" ref="F5:F15" si="1">ABS(D5-C5)/C5</f>
        <v>6.25E-2</v>
      </c>
      <c r="G5">
        <f t="shared" ref="G5:G15" si="2">(D5-C5)^2</f>
        <v>0.25</v>
      </c>
      <c r="H5" s="34"/>
    </row>
    <row r="6" spans="2:8" x14ac:dyDescent="0.35">
      <c r="B6" s="64" t="s">
        <v>64</v>
      </c>
      <c r="C6" s="5">
        <v>12</v>
      </c>
      <c r="D6" s="116">
        <v>11</v>
      </c>
      <c r="E6" s="5">
        <f t="shared" si="0"/>
        <v>1</v>
      </c>
      <c r="F6" s="107">
        <f t="shared" si="1"/>
        <v>8.3333333333333329E-2</v>
      </c>
      <c r="G6">
        <f t="shared" si="2"/>
        <v>1</v>
      </c>
      <c r="H6" s="34"/>
    </row>
    <row r="7" spans="2:8" x14ac:dyDescent="0.35">
      <c r="B7" s="64" t="s">
        <v>65</v>
      </c>
      <c r="C7" s="5">
        <v>16</v>
      </c>
      <c r="D7" s="116">
        <v>18</v>
      </c>
      <c r="E7" s="5">
        <f t="shared" si="0"/>
        <v>2</v>
      </c>
      <c r="F7" s="107">
        <f t="shared" si="1"/>
        <v>0.125</v>
      </c>
      <c r="G7">
        <f t="shared" si="2"/>
        <v>4</v>
      </c>
      <c r="H7" s="34"/>
    </row>
    <row r="8" spans="2:8" x14ac:dyDescent="0.35">
      <c r="B8" s="64" t="s">
        <v>66</v>
      </c>
      <c r="C8" s="5">
        <v>22</v>
      </c>
      <c r="D8" s="116">
        <v>24</v>
      </c>
      <c r="E8" s="5">
        <f t="shared" si="0"/>
        <v>2</v>
      </c>
      <c r="F8" s="107">
        <f t="shared" si="1"/>
        <v>9.0909090909090912E-2</v>
      </c>
      <c r="G8">
        <f t="shared" si="2"/>
        <v>4</v>
      </c>
      <c r="H8" s="34"/>
    </row>
    <row r="9" spans="2:8" x14ac:dyDescent="0.35">
      <c r="B9" s="64" t="s">
        <v>67</v>
      </c>
      <c r="C9" s="5">
        <v>26</v>
      </c>
      <c r="D9" s="116">
        <v>28</v>
      </c>
      <c r="E9" s="5">
        <f t="shared" si="0"/>
        <v>2</v>
      </c>
      <c r="F9" s="107">
        <f t="shared" si="1"/>
        <v>7.6923076923076927E-2</v>
      </c>
      <c r="G9">
        <f t="shared" si="2"/>
        <v>4</v>
      </c>
      <c r="H9" s="34"/>
    </row>
    <row r="10" spans="2:8" x14ac:dyDescent="0.35">
      <c r="B10" s="64" t="s">
        <v>68</v>
      </c>
      <c r="C10" s="5">
        <v>29</v>
      </c>
      <c r="D10" s="116">
        <v>31</v>
      </c>
      <c r="E10" s="5">
        <f t="shared" si="0"/>
        <v>2</v>
      </c>
      <c r="F10" s="107">
        <f t="shared" si="1"/>
        <v>6.8965517241379309E-2</v>
      </c>
      <c r="G10">
        <f t="shared" si="2"/>
        <v>4</v>
      </c>
      <c r="H10" s="34"/>
    </row>
    <row r="11" spans="2:8" x14ac:dyDescent="0.35">
      <c r="B11" s="64" t="s">
        <v>69</v>
      </c>
      <c r="C11" s="5">
        <v>28</v>
      </c>
      <c r="D11" s="116">
        <v>30</v>
      </c>
      <c r="E11" s="5">
        <f t="shared" si="0"/>
        <v>2</v>
      </c>
      <c r="F11" s="107">
        <f t="shared" si="1"/>
        <v>7.1428571428571425E-2</v>
      </c>
      <c r="G11">
        <f t="shared" si="2"/>
        <v>4</v>
      </c>
      <c r="H11" s="34"/>
    </row>
    <row r="12" spans="2:8" x14ac:dyDescent="0.35">
      <c r="B12" s="64" t="s">
        <v>70</v>
      </c>
      <c r="C12" s="5">
        <v>24</v>
      </c>
      <c r="D12" s="116">
        <v>24.5</v>
      </c>
      <c r="E12" s="5">
        <f t="shared" si="0"/>
        <v>0.5</v>
      </c>
      <c r="F12" s="107">
        <f t="shared" si="1"/>
        <v>2.0833333333333332E-2</v>
      </c>
      <c r="G12">
        <f t="shared" si="2"/>
        <v>0.25</v>
      </c>
      <c r="H12" s="34"/>
    </row>
    <row r="13" spans="2:8" x14ac:dyDescent="0.35">
      <c r="B13" s="64" t="s">
        <v>71</v>
      </c>
      <c r="C13" s="5">
        <v>16</v>
      </c>
      <c r="D13" s="116">
        <v>15</v>
      </c>
      <c r="E13" s="5">
        <f t="shared" si="0"/>
        <v>1</v>
      </c>
      <c r="F13" s="107">
        <f t="shared" si="1"/>
        <v>6.25E-2</v>
      </c>
      <c r="G13">
        <f t="shared" si="2"/>
        <v>1</v>
      </c>
      <c r="H13" s="34"/>
    </row>
    <row r="14" spans="2:8" x14ac:dyDescent="0.35">
      <c r="B14" s="64" t="s">
        <v>72</v>
      </c>
      <c r="C14" s="5">
        <v>10</v>
      </c>
      <c r="D14" s="116">
        <v>11</v>
      </c>
      <c r="E14" s="5">
        <f t="shared" si="0"/>
        <v>1</v>
      </c>
      <c r="F14" s="107">
        <f t="shared" si="1"/>
        <v>0.1</v>
      </c>
      <c r="G14">
        <f t="shared" si="2"/>
        <v>1</v>
      </c>
      <c r="H14" s="34"/>
    </row>
    <row r="15" spans="2:8" x14ac:dyDescent="0.35">
      <c r="B15" s="64" t="s">
        <v>73</v>
      </c>
      <c r="C15" s="5">
        <v>5</v>
      </c>
      <c r="D15" s="116">
        <v>7</v>
      </c>
      <c r="E15" s="5">
        <f t="shared" si="0"/>
        <v>2</v>
      </c>
      <c r="F15" s="107">
        <f t="shared" si="1"/>
        <v>0.4</v>
      </c>
      <c r="G15">
        <f t="shared" si="2"/>
        <v>4</v>
      </c>
      <c r="H15" s="34"/>
    </row>
    <row r="16" spans="2:8" x14ac:dyDescent="0.35">
      <c r="B16" s="82"/>
      <c r="C16" s="103"/>
      <c r="D16" s="117"/>
      <c r="E16" s="113">
        <f>AVERAGE(E4:E15)</f>
        <v>1.4166666666666667</v>
      </c>
      <c r="F16" s="108">
        <f>AVERAGE(F4:F15)</f>
        <v>0.11353274359739877</v>
      </c>
      <c r="G16" s="108">
        <f>AVERAGE(G4:G15)</f>
        <v>2.375</v>
      </c>
      <c r="H16" s="109">
        <f>SQRT(G16)</f>
        <v>1.541103500742244</v>
      </c>
    </row>
    <row r="17" spans="2:8" ht="16" thickBot="1" x14ac:dyDescent="0.4">
      <c r="B17" s="83"/>
      <c r="C17" s="118"/>
      <c r="D17" s="119"/>
      <c r="E17" s="114" t="s">
        <v>79</v>
      </c>
      <c r="F17" s="110" t="s">
        <v>80</v>
      </c>
      <c r="G17" s="110" t="s">
        <v>81</v>
      </c>
      <c r="H17" s="111" t="s">
        <v>82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0081-3C4B-6748-BE80-AA1BC1A6B964}">
  <dimension ref="A1:P43"/>
  <sheetViews>
    <sheetView tabSelected="1" zoomScale="125" zoomScaleNormal="120" workbookViewId="0">
      <pane ySplit="4" topLeftCell="A5" activePane="bottomLeft" state="frozen"/>
      <selection activeCell="N7" sqref="N7"/>
      <selection pane="bottomLeft" activeCell="J3" sqref="J3"/>
    </sheetView>
  </sheetViews>
  <sheetFormatPr defaultColWidth="11" defaultRowHeight="15.5" x14ac:dyDescent="0.35"/>
  <cols>
    <col min="1" max="1" width="2.83203125" customWidth="1"/>
    <col min="2" max="2" width="4.33203125" customWidth="1"/>
    <col min="3" max="3" width="8" bestFit="1" customWidth="1"/>
    <col min="4" max="4" width="14.33203125" customWidth="1"/>
    <col min="5" max="5" width="12" bestFit="1" customWidth="1"/>
    <col min="6" max="6" width="11" bestFit="1" customWidth="1"/>
    <col min="7" max="8" width="12" bestFit="1" customWidth="1"/>
    <col min="9" max="9" width="14" bestFit="1" customWidth="1"/>
    <col min="10" max="10" width="8.1640625" bestFit="1" customWidth="1"/>
    <col min="11" max="11" width="18.5" bestFit="1" customWidth="1"/>
    <col min="12" max="12" width="12.6640625" bestFit="1" customWidth="1"/>
    <col min="13" max="13" width="18.33203125" bestFit="1" customWidth="1"/>
    <col min="14" max="14" width="12" bestFit="1" customWidth="1"/>
    <col min="15" max="15" width="20" customWidth="1"/>
    <col min="16" max="16" width="24.1640625" customWidth="1"/>
  </cols>
  <sheetData>
    <row r="1" spans="1:16" ht="16" thickBot="1" x14ac:dyDescent="0.4">
      <c r="C1" s="162" t="s">
        <v>101</v>
      </c>
      <c r="J1" s="162" t="s">
        <v>98</v>
      </c>
      <c r="N1" s="162" t="s">
        <v>100</v>
      </c>
    </row>
    <row r="2" spans="1:16" x14ac:dyDescent="0.35">
      <c r="C2" s="120" t="s">
        <v>83</v>
      </c>
      <c r="D2" s="123" t="s">
        <v>84</v>
      </c>
      <c r="E2" s="123" t="s">
        <v>85</v>
      </c>
      <c r="F2" s="123" t="s">
        <v>86</v>
      </c>
      <c r="G2" s="123" t="s">
        <v>87</v>
      </c>
      <c r="H2" s="123" t="s">
        <v>88</v>
      </c>
      <c r="I2" s="124" t="s">
        <v>89</v>
      </c>
      <c r="J2" s="140" t="s">
        <v>0</v>
      </c>
      <c r="K2" s="141" t="s">
        <v>107</v>
      </c>
      <c r="L2" s="141" t="s">
        <v>95</v>
      </c>
      <c r="M2" s="142" t="s">
        <v>91</v>
      </c>
      <c r="N2" s="140" t="s">
        <v>92</v>
      </c>
      <c r="O2" s="141" t="s">
        <v>96</v>
      </c>
      <c r="P2" s="142" t="s">
        <v>97</v>
      </c>
    </row>
    <row r="3" spans="1:16" x14ac:dyDescent="0.35">
      <c r="C3" s="121" t="s">
        <v>93</v>
      </c>
      <c r="D3" s="2">
        <v>15000</v>
      </c>
      <c r="E3" s="2">
        <v>12000</v>
      </c>
      <c r="F3" s="2">
        <v>5500</v>
      </c>
      <c r="G3" s="2">
        <v>12300</v>
      </c>
      <c r="H3" s="2">
        <v>17000</v>
      </c>
      <c r="I3" s="200">
        <f>SUM(D3:H3)</f>
        <v>61800</v>
      </c>
      <c r="J3" s="143">
        <f>STDEVP(I3:I4)</f>
        <v>5850</v>
      </c>
      <c r="K3" s="144">
        <v>0.05</v>
      </c>
      <c r="L3" s="145">
        <f>AVERAGE(I3:I4)*K3</f>
        <v>2797.5</v>
      </c>
      <c r="M3" s="149">
        <f>((3*J3)/(L3))^2</f>
        <v>39.356280861646383</v>
      </c>
      <c r="N3" s="159">
        <v>55000</v>
      </c>
      <c r="O3" s="160">
        <f ca="1">COUNTIF(I5:I43,"&lt;55000")/M3</f>
        <v>0.4065424793629922</v>
      </c>
      <c r="P3" s="161">
        <f ca="1">COUNTIF(I5:I43,"&gt;=60000")/M3</f>
        <v>2.5408904960187013E-2</v>
      </c>
    </row>
    <row r="4" spans="1:16" ht="16" thickBot="1" x14ac:dyDescent="0.4">
      <c r="C4" s="122" t="s">
        <v>94</v>
      </c>
      <c r="D4" s="201">
        <v>9000</v>
      </c>
      <c r="E4" s="201">
        <v>11000</v>
      </c>
      <c r="F4" s="201">
        <v>5200</v>
      </c>
      <c r="G4" s="201">
        <v>9900</v>
      </c>
      <c r="H4" s="201">
        <v>15000</v>
      </c>
      <c r="I4" s="202">
        <f>SUM(D4:H4)</f>
        <v>50100</v>
      </c>
      <c r="J4" s="146"/>
      <c r="K4" s="147"/>
      <c r="L4" s="147"/>
      <c r="M4" s="148"/>
      <c r="N4" s="146"/>
      <c r="O4" s="147"/>
      <c r="P4" s="148"/>
    </row>
    <row r="5" spans="1:16" x14ac:dyDescent="0.35">
      <c r="A5" s="199" t="s">
        <v>99</v>
      </c>
      <c r="B5" s="196" t="s">
        <v>90</v>
      </c>
      <c r="C5" s="150">
        <v>1</v>
      </c>
      <c r="D5" s="151">
        <f ca="1">RAND()*(D$4-D$3)+D$3</f>
        <v>9915.2601908042161</v>
      </c>
      <c r="E5" s="151">
        <f ca="1">RAND()*(E$4-E$3)+E$3</f>
        <v>11676.156128651537</v>
      </c>
      <c r="F5" s="151">
        <f ca="1">RAND()*(F$4-F$3)+F$3</f>
        <v>5463.0197597006791</v>
      </c>
      <c r="G5" s="151">
        <f t="shared" ref="G5:H20" ca="1" si="0">RAND()*(G$4-G$3)+G$3</f>
        <v>10133.435967871081</v>
      </c>
      <c r="H5" s="151">
        <f t="shared" ca="1" si="0"/>
        <v>15510.769660592778</v>
      </c>
      <c r="I5" s="152">
        <f ca="1">SUM(D5:H5)</f>
        <v>52698.641707620292</v>
      </c>
      <c r="J5" s="2"/>
    </row>
    <row r="6" spans="1:16" x14ac:dyDescent="0.35">
      <c r="A6" s="199"/>
      <c r="B6" s="197"/>
      <c r="C6" s="153">
        <f>C5+1</f>
        <v>2</v>
      </c>
      <c r="D6" s="154">
        <f t="shared" ref="D6:H36" ca="1" si="1">RAND()*(D$4-D$3)+D$3</f>
        <v>9563.9995675532082</v>
      </c>
      <c r="E6" s="154">
        <f t="shared" ca="1" si="1"/>
        <v>11208.801268809038</v>
      </c>
      <c r="F6" s="154">
        <f t="shared" ca="1" si="1"/>
        <v>5358.1181535638198</v>
      </c>
      <c r="G6" s="154">
        <f t="shared" ca="1" si="0"/>
        <v>10798.664375777904</v>
      </c>
      <c r="H6" s="154">
        <f t="shared" ca="1" si="0"/>
        <v>16485.833612514518</v>
      </c>
      <c r="I6" s="155">
        <f ca="1">SUM(D6:H6)</f>
        <v>53415.416978218491</v>
      </c>
    </row>
    <row r="7" spans="1:16" x14ac:dyDescent="0.35">
      <c r="A7" s="199"/>
      <c r="B7" s="197"/>
      <c r="C7" s="153">
        <f t="shared" ref="C7:C43" si="2">C6+1</f>
        <v>3</v>
      </c>
      <c r="D7" s="154">
        <f t="shared" ca="1" si="1"/>
        <v>10581.530147664282</v>
      </c>
      <c r="E7" s="154">
        <f t="shared" ca="1" si="1"/>
        <v>11981.261653806443</v>
      </c>
      <c r="F7" s="154">
        <f t="shared" ca="1" si="1"/>
        <v>5341.0248446929281</v>
      </c>
      <c r="G7" s="154">
        <f t="shared" ca="1" si="0"/>
        <v>10448.717718932929</v>
      </c>
      <c r="H7" s="154">
        <f t="shared" ca="1" si="0"/>
        <v>15767.658239487208</v>
      </c>
      <c r="I7" s="155">
        <f t="shared" ref="I7:I43" ca="1" si="3">SUM(D7:H7)</f>
        <v>54120.19260458379</v>
      </c>
    </row>
    <row r="8" spans="1:16" x14ac:dyDescent="0.35">
      <c r="A8" s="199"/>
      <c r="B8" s="197"/>
      <c r="C8" s="153">
        <f t="shared" si="2"/>
        <v>4</v>
      </c>
      <c r="D8" s="154">
        <f t="shared" ca="1" si="1"/>
        <v>14199.112599451946</v>
      </c>
      <c r="E8" s="154">
        <f t="shared" ca="1" si="1"/>
        <v>11766.137184900957</v>
      </c>
      <c r="F8" s="154">
        <f t="shared" ca="1" si="1"/>
        <v>5482.0104917961016</v>
      </c>
      <c r="G8" s="154">
        <f t="shared" ca="1" si="0"/>
        <v>12255.858732244038</v>
      </c>
      <c r="H8" s="154">
        <f t="shared" ca="1" si="0"/>
        <v>16429.062369884763</v>
      </c>
      <c r="I8" s="155">
        <f t="shared" ca="1" si="3"/>
        <v>60132.181378277804</v>
      </c>
    </row>
    <row r="9" spans="1:16" x14ac:dyDescent="0.35">
      <c r="B9" s="197"/>
      <c r="C9" s="153">
        <f t="shared" si="2"/>
        <v>5</v>
      </c>
      <c r="D9" s="154">
        <f t="shared" ca="1" si="1"/>
        <v>10775.528104104913</v>
      </c>
      <c r="E9" s="154">
        <f t="shared" ca="1" si="1"/>
        <v>11580.980660796407</v>
      </c>
      <c r="F9" s="154">
        <f t="shared" ca="1" si="1"/>
        <v>5439.1862992680772</v>
      </c>
      <c r="G9" s="154">
        <f t="shared" ca="1" si="0"/>
        <v>10787.813058707481</v>
      </c>
      <c r="H9" s="154">
        <f t="shared" ca="1" si="0"/>
        <v>16487.777529415602</v>
      </c>
      <c r="I9" s="155">
        <f t="shared" ca="1" si="3"/>
        <v>55071.285652292485</v>
      </c>
    </row>
    <row r="10" spans="1:16" x14ac:dyDescent="0.35">
      <c r="B10" s="197"/>
      <c r="C10" s="153">
        <f t="shared" si="2"/>
        <v>6</v>
      </c>
      <c r="D10" s="154">
        <f ca="1">RAND()*(D$4-D$3)+D$3</f>
        <v>12918.39949794468</v>
      </c>
      <c r="E10" s="154">
        <f t="shared" ca="1" si="1"/>
        <v>11448.406197940698</v>
      </c>
      <c r="F10" s="154">
        <f t="shared" ca="1" si="1"/>
        <v>5280.7809931916363</v>
      </c>
      <c r="G10" s="154">
        <f t="shared" ca="1" si="0"/>
        <v>10735.906872819018</v>
      </c>
      <c r="H10" s="154">
        <f t="shared" ca="1" si="0"/>
        <v>16972.799553498651</v>
      </c>
      <c r="I10" s="155">
        <f t="shared" ca="1" si="3"/>
        <v>57356.293115394685</v>
      </c>
    </row>
    <row r="11" spans="1:16" x14ac:dyDescent="0.35">
      <c r="B11" s="197"/>
      <c r="C11" s="153">
        <f t="shared" si="2"/>
        <v>7</v>
      </c>
      <c r="D11" s="154">
        <f t="shared" ca="1" si="1"/>
        <v>12113.444364015753</v>
      </c>
      <c r="E11" s="154">
        <f t="shared" ca="1" si="1"/>
        <v>11415.604627486373</v>
      </c>
      <c r="F11" s="154">
        <f t="shared" ca="1" si="1"/>
        <v>5238.9311965379147</v>
      </c>
      <c r="G11" s="154">
        <f t="shared" ca="1" si="0"/>
        <v>11610.115424457597</v>
      </c>
      <c r="H11" s="154">
        <f t="shared" ca="1" si="0"/>
        <v>16565.824201592939</v>
      </c>
      <c r="I11" s="155">
        <f t="shared" ca="1" si="3"/>
        <v>56943.919814090579</v>
      </c>
    </row>
    <row r="12" spans="1:16" x14ac:dyDescent="0.35">
      <c r="B12" s="197"/>
      <c r="C12" s="153">
        <f t="shared" si="2"/>
        <v>8</v>
      </c>
      <c r="D12" s="154">
        <f t="shared" ca="1" si="1"/>
        <v>14613.15449015533</v>
      </c>
      <c r="E12" s="154">
        <f t="shared" ca="1" si="1"/>
        <v>11202.220433956873</v>
      </c>
      <c r="F12" s="154">
        <f t="shared" ca="1" si="1"/>
        <v>5318.1787611382151</v>
      </c>
      <c r="G12" s="154">
        <f t="shared" ca="1" si="0"/>
        <v>12264.011802985997</v>
      </c>
      <c r="H12" s="154">
        <f t="shared" ca="1" si="0"/>
        <v>15447.606365678175</v>
      </c>
      <c r="I12" s="155">
        <f t="shared" ca="1" si="3"/>
        <v>58845.171853914588</v>
      </c>
    </row>
    <row r="13" spans="1:16" x14ac:dyDescent="0.35">
      <c r="B13" s="197"/>
      <c r="C13" s="153">
        <f t="shared" si="2"/>
        <v>9</v>
      </c>
      <c r="D13" s="154">
        <f t="shared" ca="1" si="1"/>
        <v>13668.904632426731</v>
      </c>
      <c r="E13" s="154">
        <f t="shared" ca="1" si="1"/>
        <v>11393.605333182128</v>
      </c>
      <c r="F13" s="154">
        <f t="shared" ca="1" si="1"/>
        <v>5301.5236077953959</v>
      </c>
      <c r="G13" s="154">
        <f t="shared" ca="1" si="0"/>
        <v>10491.352437984657</v>
      </c>
      <c r="H13" s="154">
        <f t="shared" ca="1" si="0"/>
        <v>16873.590402755581</v>
      </c>
      <c r="I13" s="155">
        <f t="shared" ca="1" si="3"/>
        <v>57728.97641414449</v>
      </c>
    </row>
    <row r="14" spans="1:16" x14ac:dyDescent="0.35">
      <c r="B14" s="197"/>
      <c r="C14" s="153">
        <f t="shared" si="2"/>
        <v>10</v>
      </c>
      <c r="D14" s="154">
        <f t="shared" ca="1" si="1"/>
        <v>10172.742103695244</v>
      </c>
      <c r="E14" s="154">
        <f t="shared" ca="1" si="1"/>
        <v>11416.13324089669</v>
      </c>
      <c r="F14" s="154">
        <f t="shared" ca="1" si="1"/>
        <v>5343.0515793034956</v>
      </c>
      <c r="G14" s="154">
        <f t="shared" ca="1" si="0"/>
        <v>10184.583075199529</v>
      </c>
      <c r="H14" s="154">
        <f t="shared" ca="1" si="0"/>
        <v>16533.863623487377</v>
      </c>
      <c r="I14" s="155">
        <f t="shared" ca="1" si="3"/>
        <v>53650.373622582338</v>
      </c>
    </row>
    <row r="15" spans="1:16" x14ac:dyDescent="0.35">
      <c r="B15" s="197"/>
      <c r="C15" s="153">
        <f t="shared" si="2"/>
        <v>11</v>
      </c>
      <c r="D15" s="154">
        <f t="shared" ca="1" si="1"/>
        <v>12246.517850404756</v>
      </c>
      <c r="E15" s="154">
        <f t="shared" ca="1" si="1"/>
        <v>11254.447857106283</v>
      </c>
      <c r="F15" s="154">
        <f t="shared" ca="1" si="1"/>
        <v>5206.8566016950635</v>
      </c>
      <c r="G15" s="154">
        <f t="shared" ca="1" si="0"/>
        <v>11508.732950811878</v>
      </c>
      <c r="H15" s="154">
        <f t="shared" ca="1" si="0"/>
        <v>16821.716421043489</v>
      </c>
      <c r="I15" s="155">
        <f t="shared" ca="1" si="3"/>
        <v>57038.271681061466</v>
      </c>
    </row>
    <row r="16" spans="1:16" x14ac:dyDescent="0.35">
      <c r="B16" s="197"/>
      <c r="C16" s="153">
        <f t="shared" si="2"/>
        <v>12</v>
      </c>
      <c r="D16" s="154">
        <f t="shared" ca="1" si="1"/>
        <v>11221.496678931639</v>
      </c>
      <c r="E16" s="154">
        <f t="shared" ca="1" si="1"/>
        <v>11171.775299891071</v>
      </c>
      <c r="F16" s="154">
        <f t="shared" ca="1" si="1"/>
        <v>5234.9738920896261</v>
      </c>
      <c r="G16" s="154">
        <f t="shared" ca="1" si="0"/>
        <v>10501.306100349078</v>
      </c>
      <c r="H16" s="154">
        <f t="shared" ca="1" si="0"/>
        <v>16444.251472171698</v>
      </c>
      <c r="I16" s="155">
        <f t="shared" ca="1" si="3"/>
        <v>54573.80344343312</v>
      </c>
    </row>
    <row r="17" spans="2:9" x14ac:dyDescent="0.35">
      <c r="B17" s="197"/>
      <c r="C17" s="153">
        <f t="shared" si="2"/>
        <v>13</v>
      </c>
      <c r="D17" s="154">
        <f t="shared" ca="1" si="1"/>
        <v>11635.411694925411</v>
      </c>
      <c r="E17" s="154">
        <f t="shared" ca="1" si="1"/>
        <v>11463.009704109027</v>
      </c>
      <c r="F17" s="154">
        <f t="shared" ca="1" si="1"/>
        <v>5270.8671841029663</v>
      </c>
      <c r="G17" s="154">
        <f t="shared" ca="1" si="0"/>
        <v>11460.670847666403</v>
      </c>
      <c r="H17" s="154">
        <f t="shared" ca="1" si="0"/>
        <v>16815.430304646194</v>
      </c>
      <c r="I17" s="155">
        <f t="shared" ca="1" si="3"/>
        <v>56645.38973545</v>
      </c>
    </row>
    <row r="18" spans="2:9" x14ac:dyDescent="0.35">
      <c r="B18" s="197"/>
      <c r="C18" s="153">
        <f t="shared" si="2"/>
        <v>14</v>
      </c>
      <c r="D18" s="154">
        <f t="shared" ca="1" si="1"/>
        <v>10012.832191210549</v>
      </c>
      <c r="E18" s="154">
        <f t="shared" ca="1" si="1"/>
        <v>11170.06353700486</v>
      </c>
      <c r="F18" s="154">
        <f t="shared" ca="1" si="1"/>
        <v>5384.7903339059058</v>
      </c>
      <c r="G18" s="154">
        <f t="shared" ca="1" si="0"/>
        <v>11887.557408546147</v>
      </c>
      <c r="H18" s="154">
        <f t="shared" ca="1" si="0"/>
        <v>16829.637947248328</v>
      </c>
      <c r="I18" s="155">
        <f t="shared" ca="1" si="3"/>
        <v>55284.881417915793</v>
      </c>
    </row>
    <row r="19" spans="2:9" x14ac:dyDescent="0.35">
      <c r="B19" s="197"/>
      <c r="C19" s="153">
        <f t="shared" si="2"/>
        <v>15</v>
      </c>
      <c r="D19" s="154">
        <f t="shared" ca="1" si="1"/>
        <v>12333.483185866144</v>
      </c>
      <c r="E19" s="154">
        <f t="shared" ca="1" si="1"/>
        <v>11481.022091007286</v>
      </c>
      <c r="F19" s="154">
        <f t="shared" ca="1" si="1"/>
        <v>5362.2757599986826</v>
      </c>
      <c r="G19" s="154">
        <f t="shared" ca="1" si="0"/>
        <v>11194.592238285368</v>
      </c>
      <c r="H19" s="154">
        <f t="shared" ca="1" si="0"/>
        <v>15015.789909559755</v>
      </c>
      <c r="I19" s="155">
        <f t="shared" ca="1" si="3"/>
        <v>55387.163184717239</v>
      </c>
    </row>
    <row r="20" spans="2:9" x14ac:dyDescent="0.35">
      <c r="B20" s="197"/>
      <c r="C20" s="153">
        <f t="shared" si="2"/>
        <v>16</v>
      </c>
      <c r="D20" s="154">
        <f t="shared" ca="1" si="1"/>
        <v>9887.1261288286078</v>
      </c>
      <c r="E20" s="154">
        <f t="shared" ca="1" si="1"/>
        <v>11460.825918454031</v>
      </c>
      <c r="F20" s="154">
        <f t="shared" ca="1" si="1"/>
        <v>5483.8674227414658</v>
      </c>
      <c r="G20" s="154">
        <f t="shared" ca="1" si="0"/>
        <v>11564.312821128156</v>
      </c>
      <c r="H20" s="154">
        <f t="shared" ca="1" si="0"/>
        <v>15562.507058822193</v>
      </c>
      <c r="I20" s="155">
        <f t="shared" ca="1" si="3"/>
        <v>53958.639349974459</v>
      </c>
    </row>
    <row r="21" spans="2:9" x14ac:dyDescent="0.35">
      <c r="B21" s="197"/>
      <c r="C21" s="153">
        <f t="shared" si="2"/>
        <v>17</v>
      </c>
      <c r="D21" s="154">
        <f t="shared" ca="1" si="1"/>
        <v>10165.559398806414</v>
      </c>
      <c r="E21" s="154">
        <f t="shared" ca="1" si="1"/>
        <v>11193.565094431196</v>
      </c>
      <c r="F21" s="154">
        <f t="shared" ca="1" si="1"/>
        <v>5480.0082797213554</v>
      </c>
      <c r="G21" s="154">
        <f t="shared" ca="1" si="1"/>
        <v>11380.671849216295</v>
      </c>
      <c r="H21" s="154">
        <f t="shared" ca="1" si="1"/>
        <v>16335.291123723922</v>
      </c>
      <c r="I21" s="155">
        <f t="shared" ca="1" si="3"/>
        <v>54555.095745899183</v>
      </c>
    </row>
    <row r="22" spans="2:9" x14ac:dyDescent="0.35">
      <c r="B22" s="197"/>
      <c r="C22" s="153">
        <f t="shared" si="2"/>
        <v>18</v>
      </c>
      <c r="D22" s="154">
        <f t="shared" ca="1" si="1"/>
        <v>9855.5678760225164</v>
      </c>
      <c r="E22" s="154">
        <f t="shared" ca="1" si="1"/>
        <v>11744.300689157639</v>
      </c>
      <c r="F22" s="154">
        <f t="shared" ca="1" si="1"/>
        <v>5320.5441613435878</v>
      </c>
      <c r="G22" s="154">
        <f t="shared" ca="1" si="1"/>
        <v>10061.207988633916</v>
      </c>
      <c r="H22" s="154">
        <f t="shared" ca="1" si="1"/>
        <v>16215.620619340698</v>
      </c>
      <c r="I22" s="155">
        <f t="shared" ca="1" si="3"/>
        <v>53197.241334498358</v>
      </c>
    </row>
    <row r="23" spans="2:9" x14ac:dyDescent="0.35">
      <c r="B23" s="197"/>
      <c r="C23" s="153">
        <f t="shared" si="2"/>
        <v>19</v>
      </c>
      <c r="D23" s="154">
        <f t="shared" ca="1" si="1"/>
        <v>13123.12395847554</v>
      </c>
      <c r="E23" s="154">
        <f t="shared" ca="1" si="1"/>
        <v>11971.008521446251</v>
      </c>
      <c r="F23" s="154">
        <f t="shared" ca="1" si="1"/>
        <v>5339.3843743843145</v>
      </c>
      <c r="G23" s="154">
        <f t="shared" ca="1" si="1"/>
        <v>10749.876801963317</v>
      </c>
      <c r="H23" s="154">
        <f t="shared" ca="1" si="1"/>
        <v>15375.436082413084</v>
      </c>
      <c r="I23" s="155">
        <f t="shared" ca="1" si="3"/>
        <v>56558.829738682507</v>
      </c>
    </row>
    <row r="24" spans="2:9" x14ac:dyDescent="0.35">
      <c r="B24" s="197"/>
      <c r="C24" s="153">
        <f t="shared" si="2"/>
        <v>20</v>
      </c>
      <c r="D24" s="154">
        <f t="shared" ca="1" si="1"/>
        <v>11957.50281395049</v>
      </c>
      <c r="E24" s="154">
        <f t="shared" ca="1" si="1"/>
        <v>11223.678320933652</v>
      </c>
      <c r="F24" s="154">
        <f t="shared" ca="1" si="1"/>
        <v>5370.0925086593925</v>
      </c>
      <c r="G24" s="154">
        <f t="shared" ca="1" si="1"/>
        <v>11068.134083721636</v>
      </c>
      <c r="H24" s="154">
        <f t="shared" ca="1" si="1"/>
        <v>16305.825150741122</v>
      </c>
      <c r="I24" s="155">
        <f t="shared" ca="1" si="3"/>
        <v>55925.232878006296</v>
      </c>
    </row>
    <row r="25" spans="2:9" x14ac:dyDescent="0.35">
      <c r="B25" s="197"/>
      <c r="C25" s="153">
        <f t="shared" si="2"/>
        <v>21</v>
      </c>
      <c r="D25" s="154">
        <f t="shared" ca="1" si="1"/>
        <v>10391.920988337304</v>
      </c>
      <c r="E25" s="154">
        <f t="shared" ca="1" si="1"/>
        <v>11203.232534632887</v>
      </c>
      <c r="F25" s="154">
        <f t="shared" ca="1" si="1"/>
        <v>5307.4492290160479</v>
      </c>
      <c r="G25" s="154">
        <f t="shared" ca="1" si="1"/>
        <v>11574.239510717889</v>
      </c>
      <c r="H25" s="154">
        <f t="shared" ca="1" si="1"/>
        <v>15855.58617609236</v>
      </c>
      <c r="I25" s="155">
        <f t="shared" ca="1" si="3"/>
        <v>54332.428438796487</v>
      </c>
    </row>
    <row r="26" spans="2:9" x14ac:dyDescent="0.35">
      <c r="B26" s="197"/>
      <c r="C26" s="153">
        <f t="shared" si="2"/>
        <v>22</v>
      </c>
      <c r="D26" s="154">
        <f t="shared" ca="1" si="1"/>
        <v>12114.187206404466</v>
      </c>
      <c r="E26" s="154">
        <f t="shared" ca="1" si="1"/>
        <v>11100.345304232791</v>
      </c>
      <c r="F26" s="154">
        <f t="shared" ca="1" si="1"/>
        <v>5422.9582789686692</v>
      </c>
      <c r="G26" s="154">
        <f t="shared" ca="1" si="1"/>
        <v>11088.981846147863</v>
      </c>
      <c r="H26" s="154">
        <f t="shared" ca="1" si="1"/>
        <v>16180.259982971063</v>
      </c>
      <c r="I26" s="155">
        <f t="shared" ca="1" si="3"/>
        <v>55906.732618724855</v>
      </c>
    </row>
    <row r="27" spans="2:9" x14ac:dyDescent="0.35">
      <c r="B27" s="197"/>
      <c r="C27" s="153">
        <f t="shared" si="2"/>
        <v>23</v>
      </c>
      <c r="D27" s="154">
        <f t="shared" ca="1" si="1"/>
        <v>14890.729300461084</v>
      </c>
      <c r="E27" s="154">
        <f t="shared" ca="1" si="1"/>
        <v>11094.294466658139</v>
      </c>
      <c r="F27" s="154">
        <f t="shared" ca="1" si="1"/>
        <v>5232.9823515195758</v>
      </c>
      <c r="G27" s="154">
        <f t="shared" ca="1" si="1"/>
        <v>12084.85890087959</v>
      </c>
      <c r="H27" s="154">
        <f t="shared" ca="1" si="1"/>
        <v>15047.896771501757</v>
      </c>
      <c r="I27" s="155">
        <f t="shared" ca="1" si="3"/>
        <v>58350.761791020144</v>
      </c>
    </row>
    <row r="28" spans="2:9" x14ac:dyDescent="0.35">
      <c r="B28" s="197"/>
      <c r="C28" s="153">
        <f t="shared" si="2"/>
        <v>24</v>
      </c>
      <c r="D28" s="154">
        <f t="shared" ca="1" si="1"/>
        <v>13615.106461833577</v>
      </c>
      <c r="E28" s="154">
        <f t="shared" ca="1" si="1"/>
        <v>11629.06377720204</v>
      </c>
      <c r="F28" s="154">
        <f t="shared" ca="1" si="1"/>
        <v>5441.5318304044522</v>
      </c>
      <c r="G28" s="154">
        <f t="shared" ca="1" si="1"/>
        <v>11158.628460416867</v>
      </c>
      <c r="H28" s="154">
        <f t="shared" ca="1" si="1"/>
        <v>15981.059438150216</v>
      </c>
      <c r="I28" s="155">
        <f t="shared" ca="1" si="3"/>
        <v>57825.389968007148</v>
      </c>
    </row>
    <row r="29" spans="2:9" x14ac:dyDescent="0.35">
      <c r="B29" s="197"/>
      <c r="C29" s="153">
        <f t="shared" si="2"/>
        <v>25</v>
      </c>
      <c r="D29" s="154">
        <f t="shared" ca="1" si="1"/>
        <v>10250.641276292714</v>
      </c>
      <c r="E29" s="154">
        <f t="shared" ca="1" si="1"/>
        <v>11571.403402726626</v>
      </c>
      <c r="F29" s="154">
        <f t="shared" ca="1" si="1"/>
        <v>5222.0943497156577</v>
      </c>
      <c r="G29" s="154">
        <f t="shared" ca="1" si="1"/>
        <v>10492.689369478081</v>
      </c>
      <c r="H29" s="154">
        <f t="shared" ca="1" si="1"/>
        <v>15650.772771063228</v>
      </c>
      <c r="I29" s="155">
        <f t="shared" ca="1" si="3"/>
        <v>53187.601169276313</v>
      </c>
    </row>
    <row r="30" spans="2:9" x14ac:dyDescent="0.35">
      <c r="B30" s="197"/>
      <c r="C30" s="153">
        <f t="shared" si="2"/>
        <v>26</v>
      </c>
      <c r="D30" s="154">
        <f t="shared" ca="1" si="1"/>
        <v>11616.757076332857</v>
      </c>
      <c r="E30" s="154">
        <f t="shared" ca="1" si="1"/>
        <v>11800.455502570243</v>
      </c>
      <c r="F30" s="154">
        <f t="shared" ca="1" si="1"/>
        <v>5373.330082228088</v>
      </c>
      <c r="G30" s="154">
        <f t="shared" ca="1" si="1"/>
        <v>10655.561709688885</v>
      </c>
      <c r="H30" s="154">
        <f t="shared" ca="1" si="1"/>
        <v>15310.704029850645</v>
      </c>
      <c r="I30" s="155">
        <f t="shared" ca="1" si="3"/>
        <v>54756.808400670721</v>
      </c>
    </row>
    <row r="31" spans="2:9" x14ac:dyDescent="0.35">
      <c r="B31" s="197"/>
      <c r="C31" s="153">
        <f t="shared" si="2"/>
        <v>27</v>
      </c>
      <c r="D31" s="154">
        <f t="shared" ca="1" si="1"/>
        <v>14394.081447083858</v>
      </c>
      <c r="E31" s="154">
        <f t="shared" ca="1" si="1"/>
        <v>11711.938311242588</v>
      </c>
      <c r="F31" s="154">
        <f t="shared" ca="1" si="1"/>
        <v>5402.2533098949489</v>
      </c>
      <c r="G31" s="154">
        <f t="shared" ca="1" si="1"/>
        <v>11356.682915753012</v>
      </c>
      <c r="H31" s="154">
        <f t="shared" ca="1" si="1"/>
        <v>15742.793224687128</v>
      </c>
      <c r="I31" s="155">
        <f t="shared" ca="1" si="3"/>
        <v>58607.749208661531</v>
      </c>
    </row>
    <row r="32" spans="2:9" x14ac:dyDescent="0.35">
      <c r="B32" s="197"/>
      <c r="C32" s="153">
        <f t="shared" si="2"/>
        <v>28</v>
      </c>
      <c r="D32" s="154">
        <f t="shared" ca="1" si="1"/>
        <v>14551.221880744986</v>
      </c>
      <c r="E32" s="154">
        <f t="shared" ca="1" si="1"/>
        <v>11579.413149781498</v>
      </c>
      <c r="F32" s="154">
        <f t="shared" ca="1" si="1"/>
        <v>5387.1678915599068</v>
      </c>
      <c r="G32" s="154">
        <f t="shared" ca="1" si="1"/>
        <v>11035.540075184826</v>
      </c>
      <c r="H32" s="154">
        <f t="shared" ca="1" si="1"/>
        <v>15220.898030454886</v>
      </c>
      <c r="I32" s="155">
        <f t="shared" ca="1" si="3"/>
        <v>57774.241027726108</v>
      </c>
    </row>
    <row r="33" spans="2:9" x14ac:dyDescent="0.35">
      <c r="B33" s="197"/>
      <c r="C33" s="153">
        <f t="shared" si="2"/>
        <v>29</v>
      </c>
      <c r="D33" s="154">
        <f t="shared" ca="1" si="1"/>
        <v>12180.151695706356</v>
      </c>
      <c r="E33" s="154">
        <f t="shared" ca="1" si="1"/>
        <v>11026.862605309514</v>
      </c>
      <c r="F33" s="154">
        <f t="shared" ca="1" si="1"/>
        <v>5236.8951859776989</v>
      </c>
      <c r="G33" s="154">
        <f t="shared" ca="1" si="1"/>
        <v>10125.545867237764</v>
      </c>
      <c r="H33" s="154">
        <f t="shared" ca="1" si="1"/>
        <v>15410.325860703413</v>
      </c>
      <c r="I33" s="155">
        <f t="shared" ca="1" si="3"/>
        <v>53979.781214934752</v>
      </c>
    </row>
    <row r="34" spans="2:9" x14ac:dyDescent="0.35">
      <c r="B34" s="197"/>
      <c r="C34" s="153">
        <f t="shared" si="2"/>
        <v>30</v>
      </c>
      <c r="D34" s="154">
        <f t="shared" ca="1" si="1"/>
        <v>13311.906742587256</v>
      </c>
      <c r="E34" s="154">
        <f t="shared" ca="1" si="1"/>
        <v>11593.827474262183</v>
      </c>
      <c r="F34" s="154">
        <f t="shared" ca="1" si="1"/>
        <v>5295.1003493942235</v>
      </c>
      <c r="G34" s="154">
        <f t="shared" ca="1" si="1"/>
        <v>9912.7288143059304</v>
      </c>
      <c r="H34" s="154">
        <f t="shared" ca="1" si="1"/>
        <v>16504.722922905261</v>
      </c>
      <c r="I34" s="155">
        <f t="shared" ca="1" si="3"/>
        <v>56618.28630345485</v>
      </c>
    </row>
    <row r="35" spans="2:9" x14ac:dyDescent="0.35">
      <c r="B35" s="197"/>
      <c r="C35" s="153">
        <f t="shared" si="2"/>
        <v>31</v>
      </c>
      <c r="D35" s="154">
        <f t="shared" ca="1" si="1"/>
        <v>11956.019708224621</v>
      </c>
      <c r="E35" s="154">
        <f t="shared" ca="1" si="1"/>
        <v>11764.405695021091</v>
      </c>
      <c r="F35" s="154">
        <f t="shared" ca="1" si="1"/>
        <v>5423.8477698653396</v>
      </c>
      <c r="G35" s="154">
        <f t="shared" ca="1" si="1"/>
        <v>10354.544662294971</v>
      </c>
      <c r="H35" s="154">
        <f t="shared" ca="1" si="1"/>
        <v>16288.30009545252</v>
      </c>
      <c r="I35" s="155">
        <f t="shared" ca="1" si="3"/>
        <v>55787.117930858542</v>
      </c>
    </row>
    <row r="36" spans="2:9" x14ac:dyDescent="0.35">
      <c r="B36" s="197"/>
      <c r="C36" s="153">
        <f t="shared" si="2"/>
        <v>32</v>
      </c>
      <c r="D36" s="154">
        <f t="shared" ca="1" si="1"/>
        <v>10291.386819710035</v>
      </c>
      <c r="E36" s="154">
        <f t="shared" ca="1" si="1"/>
        <v>11225.283426230912</v>
      </c>
      <c r="F36" s="154">
        <f t="shared" ca="1" si="1"/>
        <v>5248.7468567411142</v>
      </c>
      <c r="G36" s="154">
        <f t="shared" ca="1" si="1"/>
        <v>10713.538782446492</v>
      </c>
      <c r="H36" s="154">
        <f t="shared" ca="1" si="1"/>
        <v>16309.873475169585</v>
      </c>
      <c r="I36" s="155">
        <f t="shared" ca="1" si="3"/>
        <v>53788.829360298143</v>
      </c>
    </row>
    <row r="37" spans="2:9" x14ac:dyDescent="0.35">
      <c r="B37" s="197"/>
      <c r="C37" s="153">
        <f t="shared" si="2"/>
        <v>33</v>
      </c>
      <c r="D37" s="154">
        <f t="shared" ref="D37:H43" ca="1" si="4">RAND()*(D$4-D$3)+D$3</f>
        <v>14368.039165293525</v>
      </c>
      <c r="E37" s="154">
        <f t="shared" ca="1" si="4"/>
        <v>11294.542337463528</v>
      </c>
      <c r="F37" s="154">
        <f t="shared" ca="1" si="4"/>
        <v>5370.9505176857265</v>
      </c>
      <c r="G37" s="154">
        <f t="shared" ca="1" si="4"/>
        <v>11449.122701614877</v>
      </c>
      <c r="H37" s="154">
        <f t="shared" ca="1" si="4"/>
        <v>16595.151791138796</v>
      </c>
      <c r="I37" s="155">
        <f t="shared" ca="1" si="3"/>
        <v>59077.806513196454</v>
      </c>
    </row>
    <row r="38" spans="2:9" x14ac:dyDescent="0.35">
      <c r="B38" s="197"/>
      <c r="C38" s="153">
        <f t="shared" si="2"/>
        <v>34</v>
      </c>
      <c r="D38" s="154">
        <f t="shared" ca="1" si="4"/>
        <v>11657.618188395929</v>
      </c>
      <c r="E38" s="154">
        <f t="shared" ca="1" si="4"/>
        <v>11160.867527292139</v>
      </c>
      <c r="F38" s="154">
        <f t="shared" ca="1" si="4"/>
        <v>5299.0701374967412</v>
      </c>
      <c r="G38" s="154">
        <f t="shared" ca="1" si="4"/>
        <v>10299.778265399244</v>
      </c>
      <c r="H38" s="154">
        <f t="shared" ca="1" si="4"/>
        <v>16331.174099946649</v>
      </c>
      <c r="I38" s="155">
        <f t="shared" ca="1" si="3"/>
        <v>54748.508218530704</v>
      </c>
    </row>
    <row r="39" spans="2:9" x14ac:dyDescent="0.35">
      <c r="B39" s="197"/>
      <c r="C39" s="153">
        <f t="shared" si="2"/>
        <v>35</v>
      </c>
      <c r="D39" s="154">
        <f t="shared" ca="1" si="4"/>
        <v>13894.218693441107</v>
      </c>
      <c r="E39" s="154">
        <f t="shared" ca="1" si="4"/>
        <v>11884.589911384739</v>
      </c>
      <c r="F39" s="154">
        <f t="shared" ca="1" si="4"/>
        <v>5445.1741232814838</v>
      </c>
      <c r="G39" s="154">
        <f t="shared" ca="1" si="4"/>
        <v>12195.289034962614</v>
      </c>
      <c r="H39" s="154">
        <f t="shared" ca="1" si="4"/>
        <v>15773.991848844722</v>
      </c>
      <c r="I39" s="155">
        <f t="shared" ca="1" si="3"/>
        <v>59193.26361191467</v>
      </c>
    </row>
    <row r="40" spans="2:9" x14ac:dyDescent="0.35">
      <c r="B40" s="197"/>
      <c r="C40" s="153">
        <f t="shared" si="2"/>
        <v>36</v>
      </c>
      <c r="D40" s="154">
        <f t="shared" ca="1" si="4"/>
        <v>9934.8843605821203</v>
      </c>
      <c r="E40" s="154">
        <f t="shared" ca="1" si="4"/>
        <v>11822.829947589546</v>
      </c>
      <c r="F40" s="154">
        <f t="shared" ca="1" si="4"/>
        <v>5336.2183119588353</v>
      </c>
      <c r="G40" s="154">
        <f t="shared" ca="1" si="4"/>
        <v>11679.595057438341</v>
      </c>
      <c r="H40" s="154">
        <f t="shared" ca="1" si="4"/>
        <v>15985.45262773652</v>
      </c>
      <c r="I40" s="155">
        <f t="shared" ca="1" si="3"/>
        <v>54758.980305305362</v>
      </c>
    </row>
    <row r="41" spans="2:9" x14ac:dyDescent="0.35">
      <c r="B41" s="197"/>
      <c r="C41" s="153">
        <f t="shared" si="2"/>
        <v>37</v>
      </c>
      <c r="D41" s="154">
        <f t="shared" ca="1" si="4"/>
        <v>9852.5978588656126</v>
      </c>
      <c r="E41" s="154">
        <f t="shared" ca="1" si="4"/>
        <v>11124.014832134812</v>
      </c>
      <c r="F41" s="154">
        <f t="shared" ca="1" si="4"/>
        <v>5455.4326916523642</v>
      </c>
      <c r="G41" s="154">
        <f t="shared" ca="1" si="4"/>
        <v>12072.169666046393</v>
      </c>
      <c r="H41" s="154">
        <f t="shared" ca="1" si="4"/>
        <v>15887.163208581116</v>
      </c>
      <c r="I41" s="155">
        <f t="shared" ca="1" si="3"/>
        <v>54391.378257280296</v>
      </c>
    </row>
    <row r="42" spans="2:9" x14ac:dyDescent="0.35">
      <c r="B42" s="197"/>
      <c r="C42" s="153">
        <f t="shared" si="2"/>
        <v>38</v>
      </c>
      <c r="D42" s="154">
        <f t="shared" ca="1" si="4"/>
        <v>11356.65193528953</v>
      </c>
      <c r="E42" s="154">
        <f t="shared" ca="1" si="4"/>
        <v>11933.311879564057</v>
      </c>
      <c r="F42" s="154">
        <f t="shared" ca="1" si="4"/>
        <v>5285.4219350604517</v>
      </c>
      <c r="G42" s="154">
        <f t="shared" ca="1" si="4"/>
        <v>12292.488102817817</v>
      </c>
      <c r="H42" s="154">
        <f t="shared" ca="1" si="4"/>
        <v>16196.752149052279</v>
      </c>
      <c r="I42" s="155">
        <f t="shared" ca="1" si="3"/>
        <v>57064.626001784134</v>
      </c>
    </row>
    <row r="43" spans="2:9" ht="16" thickBot="1" x14ac:dyDescent="0.4">
      <c r="B43" s="198"/>
      <c r="C43" s="156">
        <f t="shared" si="2"/>
        <v>39</v>
      </c>
      <c r="D43" s="157">
        <f t="shared" ca="1" si="4"/>
        <v>13354.230643686311</v>
      </c>
      <c r="E43" s="157">
        <f t="shared" ca="1" si="4"/>
        <v>11855.693926019858</v>
      </c>
      <c r="F43" s="157">
        <f t="shared" ca="1" si="4"/>
        <v>5333.120279784609</v>
      </c>
      <c r="G43" s="157">
        <f t="shared" ca="1" si="4"/>
        <v>11036.759198995227</v>
      </c>
      <c r="H43" s="157">
        <f t="shared" ca="1" si="4"/>
        <v>15770.960145657817</v>
      </c>
      <c r="I43" s="158">
        <f t="shared" ca="1" si="3"/>
        <v>57350.764194143827</v>
      </c>
    </row>
  </sheetData>
  <mergeCells count="2">
    <mergeCell ref="B5:B43"/>
    <mergeCell ref="A5:A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C A A B Q S w M E F A A A C A g A y V p w V m X H y e i m A A A A 9 w A A A B I A A A B D b 2 5 m a W c v U G F j a 2 F n Z S 5 4 b W y F j 0 0 K w j A Y R K 9 S s m / + B C 3 l a 7 p w J V g Q F H E b Y m y D b S p N a n o 3 F x 7 J K 1 j Q q j u X M 7 y B N 4 / b H f K h q a O r 7 p x p b Y Y Y p i j S V r V H Y 8 s M 9 f 4 U J y g X s J H q L E s d j b B 1 6 e B M h i r v L y k h I Q Q c Z r j t S s I p Z e R Q r L e q 0 o 2 M j X V e W q X R Z 3 X 8 v 0 I C 9 i 8 Z w T F j H M 8 T t s A c y N R C Y e y X 4 K M w p k B + S l j 2 t e 8 7 L Y y P V z s g U w T y P i G e U E s D B B Q A A A g I A M l a c F Y o i k e 4 D g A A A B E A A A A T A A A A R m 9 y b X V s Y X M v U 2 V j d G l v b j E u b S t O T S 7 J z M 9 T C I b Q h t Y A U E s D B B Q A A A g I A M l a c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V p w V m X H y e i m A A A A 9 w A A A B I A A A A A A A A A A A A A A K Q B A A A A A E N v b m Z p Z y 9 Q Y W N r Y W d l L n h t b F B L A Q I U A x Q A A A g I A M l a c F Y o i k e 4 D g A A A B E A A A A T A A A A A A A A A A A A A A C k A d Y A A A B G b 3 J t d W x h c y 9 T Z W N 0 a W 9 u M S 5 t U E s B A h Q D F A A A C A g A y V p w V g / K 6 a u k A A A A 6 Q A A A B M A A A A A A A A A A A A A A K Q B F Q E A A F t D b 2 5 0 Z W 5 0 X 1 R 5 c G V z X S 5 4 b W x Q S w U G A A A A A A M A A w D C A A A A 6 g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E A A A A A A A C q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I j H K v o s 4 2 w j A N B g k q h k i G 9 w 0 B A Q E F A A S C A g B k 2 n k L E U y r h x r + l B Q 2 F T Q A O m 6 r i K n g x J y U 1 4 L X g 9 n L d o B 3 J + c j z D O J c p + P p o R D x K o E Z p 5 x Z v k U 5 G i n u b d n v p g d x V s a N / 2 D K F P z l 1 9 Z G 7 w 2 H 8 R + 6 h y l a M u l 8 u Z R q G J c l E B O w + D N b 7 O E u w B 7 1 m T x Z m 1 B / w 9 y 2 W I q 2 l U / B h 3 W G 4 V a e F K V K k J K 1 S O 5 x N z f 2 q V k 7 a I 5 5 w X b 1 2 F Y p X Q Y K L N 4 9 P K k 6 I c M Q z x 5 J 2 d N w i 5 w v v 7 s O 0 t e G l 8 y y W p 9 6 f x T x B j 2 2 7 f 4 C W c Q i P L x 3 2 3 M V Y l a m L 8 P r 5 A R j O h M Y U v Z G y C w f n I W V T 8 X k f f 7 Q C Q F f D 8 O o G g 0 K U L 2 A b I J u 1 Q N 7 G q G 7 3 c r k S X h L Z p 6 b J M i r 2 G 7 / f Y f k n q k I F i H 7 7 q P B z v Y 2 8 B X 7 Y 8 A c H + M x 6 k u U 8 r 3 G K l u g t l U s D 5 f d U / A y 7 W J c h 1 R J K B U c f I 5 3 D K L J + Q z b 6 3 2 O v Z b p t j x J v 1 / a g v X G Z o K D 7 d W I M z T A A k H s n A / D d o r M 8 B a M 2 v y J E + D y 1 Q W a 4 7 e k E y W 7 e v C G E b j P J H h 0 Z q S o S p g x E w J L E a U d k z r x e u G Z L k Q S l R J G M 1 6 A h 3 X g Z 0 l k a Q A R V j t V i H l y h x 7 W o H / P v U F g d t U q 0 e a k x g O p 7 u P M H q 3 z o J p K B Z J 8 B X w x V H A h o b b h / x K m c f S I d E 4 F 0 G f K 3 6 r Y p w R Q + + P H L 4 D C g D 2 Y Q x f Q J F u J b q + h m f R N o c M S q x W X T B 8 B g k q h k i G 9 w 0 B B w E w H Q Y J Y I Z I A W U D B A E q B B A 2 / K W / 9 4 + j h 7 Y F 9 G P J 3 / y C g F A C e 9 x U b 0 Z 6 K l I q 1 1 b p d j D B w J 0 H b F q 1 Q t l R X i G L D 8 T K z u 4 l 4 X A 0 u R K f U X R V l H X U S 8 K j 3 S c 2 i C G e a N T M z + X n G P j d 4 u G P Y 5 u P l a n a 4 p S t h x p j E w = = < / D a t a M a s h u p > 
</file>

<file path=customXml/itemProps1.xml><?xml version="1.0" encoding="utf-8"?>
<ds:datastoreItem xmlns:ds="http://schemas.openxmlformats.org/officeDocument/2006/customXml" ds:itemID="{BCBF66EF-6D8A-6C41-A818-512C385930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Valutazione_Modelli</vt:lpstr>
      <vt:lpstr>Confusion Matrix C</vt:lpstr>
      <vt:lpstr>Errori</vt:lpstr>
      <vt:lpstr>MonteCarlo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 Davide</dc:creator>
  <cp:lastModifiedBy>Alessandro Castiglioni</cp:lastModifiedBy>
  <dcterms:created xsi:type="dcterms:W3CDTF">2022-11-17T16:27:30Z</dcterms:created>
  <dcterms:modified xsi:type="dcterms:W3CDTF">2025-04-17T09:00:03Z</dcterms:modified>
</cp:coreProperties>
</file>