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515" windowHeight="8115" tabRatio="656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'Comp AY 2015-16'!$A$1:$H$33</definedName>
    <definedName name="_xlnm.Print_Area" localSheetId="2">#REF!</definedName>
    <definedName name="_xlnm.Print_Area" localSheetId="1">'FS AY 2015-16'!$A$1:$F$49</definedName>
    <definedName name="_xlnm.Print_Area" localSheetId="3">'FS AY 2016-17'!$A$1:$F$48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7"/>
  <c r="C32"/>
  <c r="C25"/>
  <c r="C14"/>
  <c r="C12"/>
  <c r="E27"/>
  <c r="E28" s="1"/>
  <c r="F28" s="1"/>
  <c r="C7"/>
  <c r="H6" i="1"/>
  <c r="C14"/>
  <c r="C12"/>
  <c r="F31"/>
  <c r="F34"/>
  <c r="E28"/>
  <c r="E25"/>
  <c r="F28"/>
  <c r="F6"/>
  <c r="K13" i="6"/>
  <c r="K12"/>
  <c r="K11"/>
  <c r="M8" l="1"/>
  <c r="M9"/>
  <c r="M11"/>
  <c r="M12"/>
  <c r="M13"/>
  <c r="K10"/>
  <c r="K14" s="1"/>
  <c r="L10"/>
  <c r="L14" s="1"/>
  <c r="M6"/>
  <c r="M7"/>
  <c r="M10" l="1"/>
  <c r="M14"/>
  <c r="F34" i="7" s="1"/>
  <c r="A1" i="1" l="1"/>
  <c r="A1" i="7" s="1"/>
  <c r="F10"/>
  <c r="F32"/>
  <c r="D9"/>
  <c r="D12"/>
  <c r="D6"/>
  <c r="A7"/>
  <c r="A8"/>
  <c r="A9"/>
  <c r="A12"/>
  <c r="A14"/>
  <c r="B23" i="1"/>
  <c r="F10"/>
  <c r="C6" i="7" l="1"/>
  <c r="C9"/>
  <c r="C10" l="1"/>
  <c r="G10" s="1"/>
  <c r="F12"/>
  <c r="F18" s="1"/>
  <c r="A16"/>
  <c r="A6"/>
  <c r="G15" i="6"/>
  <c r="G15" i="8"/>
  <c r="C13" i="1"/>
  <c r="C18" s="1"/>
  <c r="C4" i="8"/>
  <c r="B24" i="7" l="1"/>
  <c r="A12" i="8"/>
  <c r="A1"/>
  <c r="A15"/>
  <c r="C6"/>
  <c r="C5"/>
  <c r="C3"/>
  <c r="B24" i="1"/>
  <c r="C24" s="1"/>
  <c r="B23" i="7" s="1"/>
  <c r="H16" i="8"/>
  <c r="G18" s="1"/>
  <c r="H19" s="1"/>
  <c r="H16" i="6"/>
  <c r="G18" s="1"/>
  <c r="H19" s="1"/>
  <c r="C36" i="1" l="1"/>
  <c r="C36" i="7"/>
  <c r="H21" i="6"/>
  <c r="H21" i="8"/>
  <c r="C9" i="1"/>
  <c r="F12" s="1"/>
  <c r="F18" s="1"/>
  <c r="F25" l="1"/>
  <c r="E24" i="7" s="1"/>
  <c r="E25" s="1"/>
  <c r="C13" s="1"/>
  <c r="F25" l="1"/>
  <c r="F36" s="1"/>
  <c r="C18"/>
  <c r="F36" i="1"/>
  <c r="G36" s="1"/>
  <c r="G18" i="7" l="1"/>
  <c r="G36" l="1"/>
  <c r="C10" i="1"/>
  <c r="G10" s="1"/>
  <c r="G18"/>
</calcChain>
</file>

<file path=xl/sharedStrings.xml><?xml version="1.0" encoding="utf-8"?>
<sst xmlns="http://schemas.openxmlformats.org/spreadsheetml/2006/main" count="188" uniqueCount="77">
  <si>
    <t>Particulars</t>
  </si>
  <si>
    <t>Amt (Rs.)</t>
  </si>
  <si>
    <t>To Depreciation</t>
  </si>
  <si>
    <t>Profit and Loss Account for the year ended 31st March, 2016</t>
  </si>
  <si>
    <t>By Gross receipts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</si>
  <si>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</si>
  <si>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</si>
  <si>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</si>
  <si>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</si>
  <si>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</si>
  <si>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</si>
  <si>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</si>
  <si>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</si>
  <si>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</si>
  <si>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</si>
  <si>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</si>
  <si>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</si>
  <si>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Sundry Debtors</t>
  </si>
  <si>
    <t>Stock</t>
  </si>
  <si>
    <t>Cash in Hand</t>
  </si>
  <si>
    <t>Cash in Bank</t>
  </si>
  <si>
    <t>Less : Depreciation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</si>
  <si>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</si>
  <si>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</si>
  <si>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</si>
  <si>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</si>
  <si>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</si>
  <si>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</si>
  <si>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</si>
  <si>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</si>
  <si>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</si>
  <si>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</si>
  <si>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</si>
  <si>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</si>
  <si>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</si>
  <si>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</si>
  <si>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</si>
  <si>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</si>
  <si>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</si>
  <si>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</si>
  <si>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</si>
  <si>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Tax payable on total income</t>
  </si>
  <si>
    <t>Tax Payable after Rebate</t>
  </si>
  <si>
    <t>Total Tax Payable</t>
  </si>
  <si>
    <t>Net Tax Payable</t>
  </si>
  <si>
    <t>Other Payables</t>
  </si>
  <si>
    <t>Current Assets</t>
  </si>
  <si>
    <t>*As per books produced before me</t>
  </si>
  <si>
    <t>For Yuvak and Co.</t>
  </si>
  <si>
    <t>Chartered Accountants</t>
  </si>
  <si>
    <t>Firm Registration No. 118773W</t>
  </si>
  <si>
    <t>Partner</t>
  </si>
  <si>
    <t>Equipments</t>
  </si>
  <si>
    <t>To Opening Stock</t>
  </si>
  <si>
    <t>To Purchases</t>
  </si>
  <si>
    <t>To Direct Expenses</t>
  </si>
  <si>
    <t>By Closing Stock</t>
  </si>
  <si>
    <t>To Gross Profit c/d</t>
  </si>
  <si>
    <t>By Gross Profit b/d</t>
  </si>
  <si>
    <t>To Travelling Expenses</t>
  </si>
  <si>
    <t>Fishery Business</t>
  </si>
  <si>
    <t>Yuvak Mangaonkar</t>
  </si>
  <si>
    <t>Membership No. 105886</t>
  </si>
  <si>
    <t>Tanaji Laxman Pol</t>
  </si>
  <si>
    <t>Navjivan Sahkar Mandal, Waman Tukaram Patil Marg, Kashinath Patil Wadi, Mukti Nagar, Khardev Nagar, Chembur, Mumbai - 400071.</t>
  </si>
  <si>
    <t>BBJPP6331E</t>
  </si>
  <si>
    <t>Deposit</t>
  </si>
  <si>
    <t>Withdrawal</t>
  </si>
  <si>
    <t>Saraswat</t>
  </si>
  <si>
    <t>Karad Urban</t>
  </si>
  <si>
    <t>Total</t>
  </si>
  <si>
    <t>Int Credit</t>
  </si>
  <si>
    <t>Other fixed assets</t>
  </si>
  <si>
    <t>Trading and Profit &amp; Loss Account for the year ended 31st March, 2016</t>
  </si>
  <si>
    <t>2017-2018</t>
  </si>
  <si>
    <t>To Misc. Expenses</t>
  </si>
  <si>
    <t>Less : Drawings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</si>
</sst>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??_ ;_ @_ "/>
    <numFmt numFmtId="167" formatCode="dd\-mm\-yyyy"/>
    <numFmt numFmtId="168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165" fontId="6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/>
    <xf numFmtId="0" fontId="1" fillId="0" borderId="5" xfId="0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6" fontId="0" fillId="0" borderId="0" xfId="4" applyNumberFormat="1" applyFont="1"/>
    <xf numFmtId="1" fontId="0" fillId="0" borderId="9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0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66" fontId="0" fillId="0" borderId="8" xfId="4" applyNumberFormat="1" applyFont="1" applyBorder="1"/>
    <xf numFmtId="166" fontId="0" fillId="0" borderId="10" xfId="4" applyNumberFormat="1" applyFont="1" applyBorder="1"/>
    <xf numFmtId="166" fontId="0" fillId="0" borderId="9" xfId="4" applyNumberFormat="1" applyFont="1" applyBorder="1"/>
    <xf numFmtId="166" fontId="1" fillId="0" borderId="10" xfId="4" applyNumberFormat="1" applyFont="1" applyBorder="1"/>
    <xf numFmtId="166" fontId="1" fillId="0" borderId="1" xfId="4" applyNumberFormat="1" applyFont="1" applyBorder="1"/>
    <xf numFmtId="166" fontId="0" fillId="0" borderId="4" xfId="4" applyNumberFormat="1" applyFont="1" applyBorder="1"/>
    <xf numFmtId="166" fontId="1" fillId="0" borderId="4" xfId="4" applyNumberFormat="1" applyFont="1" applyBorder="1"/>
    <xf numFmtId="166" fontId="1" fillId="0" borderId="14" xfId="4" applyNumberFormat="1" applyFont="1" applyBorder="1"/>
    <xf numFmtId="166" fontId="1" fillId="0" borderId="2" xfId="4" applyNumberFormat="1" applyFont="1" applyBorder="1"/>
    <xf numFmtId="166" fontId="0" fillId="0" borderId="11" xfId="4" applyNumberFormat="1" applyFont="1" applyBorder="1"/>
    <xf numFmtId="166" fontId="0" fillId="0" borderId="3" xfId="4" applyNumberFormat="1" applyFont="1" applyFill="1" applyBorder="1"/>
    <xf numFmtId="166" fontId="0" fillId="0" borderId="5" xfId="4" applyNumberFormat="1" applyFont="1" applyFill="1" applyBorder="1"/>
    <xf numFmtId="166" fontId="0" fillId="0" borderId="3" xfId="4" applyNumberFormat="1" applyFont="1" applyBorder="1"/>
    <xf numFmtId="166" fontId="1" fillId="0" borderId="5" xfId="4" applyNumberFormat="1" applyFont="1" applyBorder="1"/>
    <xf numFmtId="0" fontId="1" fillId="0" borderId="11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0" fillId="0" borderId="8" xfId="0" applyFont="1" applyBorder="1"/>
    <xf numFmtId="0" fontId="0" fillId="0" borderId="13" xfId="0" applyFont="1" applyBorder="1"/>
    <xf numFmtId="0" fontId="0" fillId="0" borderId="9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2" xfId="0" applyFont="1" applyBorder="1"/>
    <xf numFmtId="0" fontId="0" fillId="0" borderId="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9" xfId="0" applyFont="1" applyFill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right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/>
    <xf numFmtId="14" fontId="0" fillId="0" borderId="0" xfId="0" applyNumberFormat="1" applyFont="1"/>
    <xf numFmtId="0" fontId="0" fillId="0" borderId="9" xfId="0" applyFont="1" applyBorder="1"/>
    <xf numFmtId="0" fontId="0" fillId="0" borderId="10" xfId="0" applyFont="1" applyBorder="1"/>
    <xf numFmtId="1" fontId="0" fillId="0" borderId="0" xfId="0" applyNumberFormat="1" applyFont="1"/>
    <xf numFmtId="0" fontId="0" fillId="0" borderId="3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9" xfId="0" applyFont="1" applyBorder="1"/>
    <xf numFmtId="166" fontId="0" fillId="0" borderId="0" xfId="4" applyNumberFormat="1" applyFont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/>
    </xf>
    <xf numFmtId="0" fontId="5" fillId="0" borderId="0" xfId="3" applyNumberFormat="1" applyFont="1" applyFill="1" applyBorder="1" applyAlignment="1">
      <alignment horizontal="left" vertical="top"/>
    </xf>
    <xf numFmtId="167" fontId="5" fillId="0" borderId="0" xfId="3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3" xfId="0" applyFont="1" applyBorder="1"/>
    <xf numFmtId="0" fontId="0" fillId="0" borderId="5" xfId="0" applyBorder="1"/>
    <xf numFmtId="0" fontId="1" fillId="0" borderId="2" xfId="0" applyFont="1" applyBorder="1"/>
    <xf numFmtId="166" fontId="0" fillId="0" borderId="9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66" fontId="0" fillId="0" borderId="1" xfId="4" applyNumberFormat="1" applyFont="1" applyBorder="1"/>
    <xf numFmtId="166" fontId="0" fillId="0" borderId="0" xfId="0" applyNumberFormat="1" applyFont="1"/>
    <xf numFmtId="168" fontId="1" fillId="0" borderId="8" xfId="0" applyNumberFormat="1" applyFont="1" applyBorder="1"/>
    <xf numFmtId="168" fontId="1" fillId="0" borderId="11" xfId="0" applyNumberFormat="1" applyFont="1" applyBorder="1"/>
    <xf numFmtId="168" fontId="0" fillId="0" borderId="9" xfId="0" applyNumberFormat="1" applyFont="1" applyBorder="1"/>
    <xf numFmtId="168" fontId="0" fillId="0" borderId="3" xfId="0" applyNumberFormat="1" applyFont="1" applyFill="1" applyBorder="1"/>
    <xf numFmtId="168" fontId="0" fillId="0" borderId="3" xfId="0" applyNumberFormat="1" applyFont="1" applyBorder="1"/>
    <xf numFmtId="168" fontId="0" fillId="0" borderId="0" xfId="0" applyNumberFormat="1" applyFont="1" applyBorder="1"/>
    <xf numFmtId="168" fontId="1" fillId="0" borderId="0" xfId="0" applyNumberFormat="1" applyFont="1" applyFill="1" applyBorder="1"/>
    <xf numFmtId="168" fontId="1" fillId="0" borderId="10" xfId="0" applyNumberFormat="1" applyFont="1" applyBorder="1"/>
    <xf numFmtId="168" fontId="1" fillId="0" borderId="5" xfId="0" applyNumberFormat="1" applyFont="1" applyBorder="1"/>
    <xf numFmtId="166" fontId="1" fillId="0" borderId="0" xfId="4" applyNumberFormat="1" applyFont="1"/>
    <xf numFmtId="166" fontId="1" fillId="0" borderId="1" xfId="4" applyNumberFormat="1" applyFont="1" applyBorder="1" applyAlignment="1">
      <alignment horizontal="center" vertical="top"/>
    </xf>
    <xf numFmtId="166" fontId="0" fillId="0" borderId="0" xfId="4" applyNumberFormat="1" applyFont="1" applyAlignment="1">
      <alignment horizontal="left"/>
    </xf>
    <xf numFmtId="0" fontId="1" fillId="0" borderId="12" xfId="0" applyFont="1" applyBorder="1"/>
    <xf numFmtId="0" fontId="0" fillId="0" borderId="0" xfId="0" applyFont="1" applyFill="1" applyBorder="1"/>
    <xf numFmtId="0" fontId="1" fillId="0" borderId="8" xfId="0" applyFont="1" applyBorder="1" applyAlignment="1">
      <alignment horizontal="center" vertical="top"/>
    </xf>
    <xf numFmtId="168" fontId="0" fillId="0" borderId="0" xfId="0" applyNumberFormat="1" applyFont="1" applyFill="1" applyBorder="1"/>
    <xf numFmtId="0" fontId="1" fillId="0" borderId="6" xfId="0" applyFont="1" applyBorder="1"/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5">
    <cellStyle name="Comma" xfId="4" builtinId="3"/>
    <cellStyle name="Comma 2" xfId="1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Business\IT%20Returns\Ananda%20Pawar\shilpa\A.Y.2010-11\Tax%20Audit\Anand%20Jaiswal_F.Y.2009-10\Euro%20Texmach\New%20Folder\ITR6_2010_11_R11\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view="pageBreakPreview" zoomScaleSheetLayoutView="100" workbookViewId="0">
      <selection activeCell="I13" sqref="I13"/>
    </sheetView>
  </sheetViews>
  <sheetFormatPr defaultRowHeight="15"/>
  <cols>
    <col min="1" max="1" width="20.85546875" style="56" bestFit="1" customWidth="1"/>
    <col min="2" max="2" width="1.5703125" style="56" bestFit="1" customWidth="1"/>
    <col min="3" max="3" width="23.5703125" style="56" bestFit="1" customWidth="1"/>
    <col min="4" max="4" width="9.140625" style="56"/>
    <col min="5" max="8" width="9.140625" style="56" bestFit="1" customWidth="1"/>
    <col min="9" max="9" width="19.5703125" style="56" bestFit="1" customWidth="1"/>
    <col min="10" max="13" width="12.85546875" style="56" customWidth="1"/>
    <col min="14" max="16384" width="9.140625" style="56"/>
  </cols>
  <sheetData>
    <row r="1" spans="1:13" ht="18.75">
      <c r="A1" s="125" t="s">
        <v>22</v>
      </c>
      <c r="B1" s="125"/>
      <c r="C1" s="125"/>
      <c r="D1" s="125"/>
      <c r="E1" s="125"/>
      <c r="F1" s="125"/>
      <c r="G1" s="125"/>
      <c r="H1" s="125"/>
    </row>
    <row r="2" spans="1:13">
      <c r="I2" s="85"/>
    </row>
    <row r="3" spans="1:13">
      <c r="A3" s="9" t="s">
        <v>39</v>
      </c>
      <c r="B3" s="9" t="s">
        <v>8</v>
      </c>
      <c r="C3" s="55" t="s">
        <v>63</v>
      </c>
      <c r="D3" s="57"/>
      <c r="E3" s="57"/>
      <c r="F3" s="57"/>
      <c r="G3" s="57"/>
    </row>
    <row r="4" spans="1:13" ht="30.75" customHeight="1">
      <c r="A4" s="10" t="s">
        <v>9</v>
      </c>
      <c r="B4" s="10" t="s">
        <v>8</v>
      </c>
      <c r="C4" s="132" t="s">
        <v>64</v>
      </c>
      <c r="D4" s="126"/>
      <c r="E4" s="126"/>
      <c r="F4" s="126"/>
      <c r="G4" s="126"/>
      <c r="H4" s="126"/>
    </row>
    <row r="5" spans="1:13">
      <c r="A5" s="9" t="s">
        <v>23</v>
      </c>
      <c r="B5" s="9" t="s">
        <v>8</v>
      </c>
      <c r="C5" s="89" t="s">
        <v>65</v>
      </c>
      <c r="D5" s="57"/>
      <c r="E5" s="57"/>
      <c r="F5" s="57"/>
      <c r="G5" s="57"/>
      <c r="J5" s="96"/>
      <c r="K5" s="96" t="s">
        <v>68</v>
      </c>
      <c r="L5" s="96" t="s">
        <v>69</v>
      </c>
      <c r="M5" s="96" t="s">
        <v>70</v>
      </c>
    </row>
    <row r="6" spans="1:13">
      <c r="A6" s="9" t="s">
        <v>24</v>
      </c>
      <c r="B6" s="10" t="s">
        <v>8</v>
      </c>
      <c r="C6" s="90">
        <v>28948</v>
      </c>
      <c r="D6" s="57"/>
      <c r="E6" s="57"/>
      <c r="F6" s="57"/>
      <c r="G6" s="57"/>
      <c r="J6" s="97">
        <v>42095</v>
      </c>
      <c r="K6" s="98">
        <v>1324</v>
      </c>
      <c r="L6" s="98">
        <v>4557</v>
      </c>
      <c r="M6" s="98">
        <f t="shared" ref="M6:M14" si="0">SUM(K6:L6)</f>
        <v>5881</v>
      </c>
    </row>
    <row r="7" spans="1:13">
      <c r="A7" s="9" t="s">
        <v>10</v>
      </c>
      <c r="B7" s="10" t="s">
        <v>8</v>
      </c>
      <c r="C7" s="57" t="s">
        <v>11</v>
      </c>
      <c r="D7" s="57"/>
      <c r="E7" s="57"/>
      <c r="F7" s="57"/>
      <c r="G7" s="57"/>
      <c r="J7" s="96" t="s">
        <v>66</v>
      </c>
      <c r="K7" s="98">
        <v>278630</v>
      </c>
      <c r="L7" s="98">
        <v>25000</v>
      </c>
      <c r="M7" s="98">
        <f t="shared" si="0"/>
        <v>303630</v>
      </c>
    </row>
    <row r="8" spans="1:13">
      <c r="A8" s="9" t="s">
        <v>25</v>
      </c>
      <c r="B8" s="10" t="s">
        <v>8</v>
      </c>
      <c r="C8" s="57" t="s">
        <v>27</v>
      </c>
      <c r="D8" s="57"/>
      <c r="E8" s="57"/>
      <c r="F8" s="57"/>
      <c r="G8" s="57"/>
      <c r="J8" s="96" t="s">
        <v>71</v>
      </c>
      <c r="K8" s="98">
        <v>743</v>
      </c>
      <c r="L8" s="98">
        <v>327</v>
      </c>
      <c r="M8" s="98">
        <f t="shared" si="0"/>
        <v>1070</v>
      </c>
    </row>
    <row r="9" spans="1:13">
      <c r="A9" s="9" t="s">
        <v>26</v>
      </c>
      <c r="B9" s="10" t="s">
        <v>8</v>
      </c>
      <c r="C9" s="57" t="s">
        <v>28</v>
      </c>
      <c r="D9" s="57"/>
      <c r="E9" s="57"/>
      <c r="F9" s="57"/>
      <c r="G9" s="57"/>
      <c r="J9" s="96" t="s">
        <v>67</v>
      </c>
      <c r="K9" s="98">
        <v>260367.7</v>
      </c>
      <c r="L9" s="98">
        <v>25440</v>
      </c>
      <c r="M9" s="98">
        <f t="shared" si="0"/>
        <v>285807.7</v>
      </c>
    </row>
    <row r="10" spans="1:13">
      <c r="A10" s="9" t="s">
        <v>12</v>
      </c>
      <c r="B10" s="10" t="s">
        <v>8</v>
      </c>
      <c r="C10" s="58">
        <v>42582</v>
      </c>
      <c r="D10" s="57"/>
      <c r="E10" s="57"/>
      <c r="F10" s="57"/>
      <c r="G10" s="57"/>
      <c r="J10" s="97">
        <v>42460</v>
      </c>
      <c r="K10" s="98">
        <f>K6+K7+K8-K9</f>
        <v>20329.299999999988</v>
      </c>
      <c r="L10" s="98">
        <f>L6+L7+L8-L9</f>
        <v>4444</v>
      </c>
      <c r="M10" s="43">
        <f t="shared" si="0"/>
        <v>24773.299999999988</v>
      </c>
    </row>
    <row r="11" spans="1:13">
      <c r="J11" s="96" t="s">
        <v>66</v>
      </c>
      <c r="K11" s="98">
        <f>25000+100000+53500+37175+25000+22000+120000+15000</f>
        <v>397675</v>
      </c>
      <c r="L11" s="98">
        <v>13543</v>
      </c>
      <c r="M11" s="98">
        <f t="shared" si="0"/>
        <v>411218</v>
      </c>
    </row>
    <row r="12" spans="1:13" ht="18.75">
      <c r="A12" s="125" t="s">
        <v>30</v>
      </c>
      <c r="B12" s="125"/>
      <c r="C12" s="125"/>
      <c r="D12" s="125"/>
      <c r="E12" s="125"/>
      <c r="F12" s="125"/>
      <c r="G12" s="125"/>
      <c r="H12" s="125"/>
      <c r="J12" s="96" t="s">
        <v>71</v>
      </c>
      <c r="K12" s="98">
        <f>84+135+527+381</f>
        <v>1127</v>
      </c>
      <c r="L12" s="98">
        <v>171</v>
      </c>
      <c r="M12" s="98">
        <f t="shared" si="0"/>
        <v>1298</v>
      </c>
    </row>
    <row r="13" spans="1:13">
      <c r="A13" s="127" t="s">
        <v>0</v>
      </c>
      <c r="B13" s="127"/>
      <c r="C13" s="127"/>
      <c r="D13" s="127"/>
      <c r="E13" s="8" t="s">
        <v>1</v>
      </c>
      <c r="F13" s="8" t="s">
        <v>1</v>
      </c>
      <c r="G13" s="8" t="s">
        <v>1</v>
      </c>
      <c r="H13" s="8" t="s">
        <v>1</v>
      </c>
      <c r="I13" s="9"/>
      <c r="J13" s="96" t="s">
        <v>67</v>
      </c>
      <c r="K13" s="98">
        <f>6491+35000+57.25+171.75+60000+171.75+60500+1371+54000+10000+57.5+24000+140000</f>
        <v>391820.25</v>
      </c>
      <c r="L13" s="98">
        <v>0</v>
      </c>
      <c r="M13" s="98">
        <f t="shared" si="0"/>
        <v>391820.25</v>
      </c>
    </row>
    <row r="14" spans="1:13">
      <c r="A14" s="123" t="s">
        <v>29</v>
      </c>
      <c r="B14" s="124"/>
      <c r="C14" s="124"/>
      <c r="D14" s="124"/>
      <c r="G14" s="59"/>
      <c r="H14" s="60"/>
      <c r="J14" s="97">
        <v>42825</v>
      </c>
      <c r="K14" s="98">
        <f>K10+K11+K12-K13</f>
        <v>27311.049999999988</v>
      </c>
      <c r="L14" s="98">
        <f>L10+L11+L12-L13</f>
        <v>18158</v>
      </c>
      <c r="M14" s="43">
        <f t="shared" si="0"/>
        <v>45469.049999999988</v>
      </c>
    </row>
    <row r="15" spans="1:13">
      <c r="A15" s="117" t="s">
        <v>60</v>
      </c>
      <c r="B15" s="118"/>
      <c r="C15" s="118"/>
      <c r="D15" s="118"/>
      <c r="G15" s="61">
        <f>'FS AY 2015-16'!C16</f>
        <v>250780</v>
      </c>
      <c r="H15" s="62"/>
    </row>
    <row r="16" spans="1:13">
      <c r="A16" s="117" t="s">
        <v>31</v>
      </c>
      <c r="B16" s="118"/>
      <c r="C16" s="118"/>
      <c r="D16" s="118"/>
      <c r="G16" s="63" t="s">
        <v>32</v>
      </c>
      <c r="H16" s="63">
        <f>G15</f>
        <v>250780</v>
      </c>
    </row>
    <row r="17" spans="1:8">
      <c r="A17" s="117"/>
      <c r="B17" s="118"/>
      <c r="C17" s="118"/>
      <c r="D17" s="118"/>
      <c r="G17" s="61"/>
      <c r="H17" s="62"/>
    </row>
    <row r="18" spans="1:8">
      <c r="A18" s="123" t="s">
        <v>33</v>
      </c>
      <c r="B18" s="124"/>
      <c r="C18" s="124"/>
      <c r="D18" s="124"/>
      <c r="G18" s="61">
        <f>H16</f>
        <v>250780</v>
      </c>
      <c r="H18" s="62"/>
    </row>
    <row r="19" spans="1:8">
      <c r="A19" s="117" t="s">
        <v>34</v>
      </c>
      <c r="B19" s="118"/>
      <c r="C19" s="118"/>
      <c r="D19" s="118"/>
      <c r="G19" s="63" t="s">
        <v>32</v>
      </c>
      <c r="H19" s="63">
        <f>G18</f>
        <v>250780</v>
      </c>
    </row>
    <row r="20" spans="1:8">
      <c r="A20" s="117"/>
      <c r="B20" s="118"/>
      <c r="C20" s="118"/>
      <c r="D20" s="118"/>
      <c r="G20" s="61"/>
      <c r="H20" s="62"/>
    </row>
    <row r="21" spans="1:8">
      <c r="A21" s="123" t="s">
        <v>35</v>
      </c>
      <c r="B21" s="124"/>
      <c r="C21" s="124"/>
      <c r="D21" s="124"/>
      <c r="G21" s="61"/>
      <c r="H21" s="62">
        <f>H19</f>
        <v>250780</v>
      </c>
    </row>
    <row r="22" spans="1:8">
      <c r="A22" s="117"/>
      <c r="B22" s="118"/>
      <c r="C22" s="118"/>
      <c r="D22" s="118"/>
      <c r="G22" s="61"/>
      <c r="H22" s="62"/>
    </row>
    <row r="23" spans="1:8">
      <c r="A23" s="121" t="s">
        <v>41</v>
      </c>
      <c r="B23" s="122"/>
      <c r="C23" s="122"/>
      <c r="D23" s="122"/>
      <c r="E23" s="64"/>
      <c r="F23" s="64"/>
      <c r="G23" s="65" t="s">
        <v>32</v>
      </c>
      <c r="H23" s="66"/>
    </row>
    <row r="24" spans="1:8">
      <c r="A24" s="16"/>
      <c r="B24" s="13"/>
      <c r="C24" s="13"/>
      <c r="D24" s="13"/>
      <c r="G24" s="61"/>
      <c r="H24" s="62"/>
    </row>
    <row r="25" spans="1:8">
      <c r="A25" s="117" t="s">
        <v>36</v>
      </c>
      <c r="B25" s="118"/>
      <c r="C25" s="118"/>
      <c r="D25" s="118"/>
      <c r="G25" s="63">
        <v>-2000</v>
      </c>
      <c r="H25" s="63" t="s">
        <v>32</v>
      </c>
    </row>
    <row r="26" spans="1:8">
      <c r="A26" s="117"/>
      <c r="B26" s="118"/>
      <c r="C26" s="118"/>
      <c r="D26" s="118"/>
      <c r="G26" s="61"/>
      <c r="H26" s="62"/>
    </row>
    <row r="27" spans="1:8">
      <c r="A27" s="123" t="s">
        <v>42</v>
      </c>
      <c r="B27" s="124"/>
      <c r="C27" s="124"/>
      <c r="D27" s="124"/>
      <c r="G27" s="61"/>
      <c r="H27" s="62"/>
    </row>
    <row r="28" spans="1:8">
      <c r="A28" s="18" t="s">
        <v>37</v>
      </c>
      <c r="B28" s="30"/>
      <c r="C28" s="30"/>
      <c r="D28" s="30"/>
      <c r="G28" s="61" t="s">
        <v>32</v>
      </c>
      <c r="H28" s="62"/>
    </row>
    <row r="29" spans="1:8">
      <c r="A29" s="117" t="s">
        <v>38</v>
      </c>
      <c r="B29" s="118"/>
      <c r="C29" s="118"/>
      <c r="D29" s="118"/>
      <c r="G29" s="67" t="s">
        <v>32</v>
      </c>
      <c r="H29" s="63" t="s">
        <v>32</v>
      </c>
    </row>
    <row r="30" spans="1:8">
      <c r="A30" s="18"/>
      <c r="B30" s="68"/>
      <c r="C30" s="68"/>
      <c r="D30" s="68"/>
      <c r="G30" s="61"/>
      <c r="H30" s="62"/>
    </row>
    <row r="31" spans="1:8">
      <c r="A31" s="29" t="s">
        <v>43</v>
      </c>
      <c r="B31" s="68"/>
      <c r="C31" s="68"/>
      <c r="D31" s="68"/>
      <c r="G31" s="69"/>
      <c r="H31" s="62" t="s">
        <v>32</v>
      </c>
    </row>
    <row r="32" spans="1:8">
      <c r="A32" s="117"/>
      <c r="B32" s="118"/>
      <c r="C32" s="118"/>
      <c r="D32" s="118"/>
      <c r="G32" s="61"/>
      <c r="H32" s="62"/>
    </row>
    <row r="33" spans="1:8">
      <c r="A33" s="119" t="s">
        <v>44</v>
      </c>
      <c r="B33" s="120"/>
      <c r="C33" s="120"/>
      <c r="D33" s="120"/>
      <c r="E33" s="70"/>
      <c r="F33" s="70"/>
      <c r="G33" s="63"/>
      <c r="H33" s="71" t="s">
        <v>32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  <ignoredErrors>
    <ignoredError sqref="M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tabSelected="1" view="pageBreakPreview" topLeftCell="A16" zoomScaleSheetLayoutView="100" workbookViewId="0">
      <selection activeCell="I13" sqref="I13"/>
    </sheetView>
  </sheetViews>
  <sheetFormatPr defaultRowHeight="15"/>
  <cols>
    <col min="1" max="1" width="26.7109375" style="72" customWidth="1"/>
    <col min="2" max="3" width="10" style="31" bestFit="1" customWidth="1"/>
    <col min="4" max="4" width="26.7109375" style="72" customWidth="1"/>
    <col min="5" max="6" width="10" style="31" bestFit="1" customWidth="1"/>
    <col min="7" max="7" width="10.42578125" style="78" bestFit="1" customWidth="1"/>
    <col min="8" max="8" width="24.28515625" style="72" bestFit="1" customWidth="1"/>
    <col min="9" max="9" width="10.5703125" style="72" bestFit="1" customWidth="1"/>
    <col min="10" max="10" width="5.140625" style="72" bestFit="1" customWidth="1"/>
    <col min="11" max="16384" width="9.140625" style="72"/>
  </cols>
  <sheetData>
    <row r="1" spans="1:9" ht="15.75">
      <c r="A1" s="129" t="str">
        <f>"Books of Mr. "&amp;'Comp AY 2015-16'!C3</f>
        <v>Books of Mr. Tanaji Laxman Pol</v>
      </c>
      <c r="B1" s="129"/>
      <c r="C1" s="129"/>
      <c r="D1" s="129"/>
      <c r="E1" s="129"/>
      <c r="F1" s="129"/>
      <c r="G1" s="86"/>
      <c r="H1" s="74"/>
      <c r="I1" s="73"/>
    </row>
    <row r="2" spans="1:9" ht="15.75">
      <c r="A2" s="129"/>
      <c r="B2" s="129"/>
      <c r="C2" s="129"/>
      <c r="D2" s="129"/>
      <c r="E2" s="129"/>
      <c r="F2" s="129"/>
      <c r="G2" s="86"/>
      <c r="H2" s="74"/>
      <c r="I2" s="73"/>
    </row>
    <row r="3" spans="1:9" ht="15.75">
      <c r="A3" s="129" t="s">
        <v>73</v>
      </c>
      <c r="B3" s="129"/>
      <c r="C3" s="129"/>
      <c r="D3" s="129"/>
      <c r="E3" s="129"/>
      <c r="F3" s="129"/>
      <c r="G3" s="86"/>
      <c r="H3" s="74"/>
    </row>
    <row r="4" spans="1:9" ht="6.75" customHeight="1">
      <c r="A4" s="7"/>
      <c r="B4" s="109"/>
      <c r="C4" s="109"/>
      <c r="D4" s="7"/>
      <c r="E4" s="109"/>
      <c r="F4" s="109"/>
      <c r="I4" s="75"/>
    </row>
    <row r="5" spans="1:9" s="81" customFormat="1">
      <c r="A5" s="80" t="s">
        <v>0</v>
      </c>
      <c r="B5" s="110" t="s">
        <v>1</v>
      </c>
      <c r="C5" s="110" t="s">
        <v>1</v>
      </c>
      <c r="D5" s="80" t="s">
        <v>0</v>
      </c>
      <c r="E5" s="110" t="s">
        <v>1</v>
      </c>
      <c r="F5" s="110" t="s">
        <v>1</v>
      </c>
      <c r="G5" s="87"/>
      <c r="I5" s="82"/>
    </row>
    <row r="6" spans="1:9">
      <c r="A6" s="59" t="s">
        <v>53</v>
      </c>
      <c r="B6" s="39"/>
      <c r="C6" s="44">
        <v>0</v>
      </c>
      <c r="D6" s="76" t="s">
        <v>4</v>
      </c>
      <c r="E6" s="41"/>
      <c r="F6" s="41">
        <f>680960-126477</f>
        <v>554483</v>
      </c>
      <c r="H6" s="72">
        <f>C7/F6</f>
        <v>0.4450993087254253</v>
      </c>
    </row>
    <row r="7" spans="1:9">
      <c r="A7" s="76" t="s">
        <v>54</v>
      </c>
      <c r="B7" s="41"/>
      <c r="C7" s="44">
        <v>246800</v>
      </c>
      <c r="D7" s="76"/>
      <c r="E7" s="41"/>
      <c r="F7" s="41"/>
    </row>
    <row r="8" spans="1:9">
      <c r="A8" s="76" t="s">
        <v>55</v>
      </c>
      <c r="B8" s="41"/>
      <c r="C8" s="44">
        <v>8678</v>
      </c>
      <c r="D8" s="76"/>
      <c r="E8" s="41"/>
      <c r="F8" s="41"/>
    </row>
    <row r="9" spans="1:9">
      <c r="A9" s="76" t="s">
        <v>57</v>
      </c>
      <c r="B9" s="41"/>
      <c r="C9" s="44">
        <f>F10-(C6+C7+C8)</f>
        <v>299005</v>
      </c>
      <c r="D9" s="76" t="s">
        <v>56</v>
      </c>
      <c r="E9" s="41"/>
      <c r="F9" s="41">
        <v>0</v>
      </c>
    </row>
    <row r="10" spans="1:9" ht="15.75" thickBot="1">
      <c r="A10" s="76"/>
      <c r="B10" s="41"/>
      <c r="C10" s="47">
        <f>SUM(C6:C9)</f>
        <v>554483</v>
      </c>
      <c r="D10" s="76"/>
      <c r="E10" s="41"/>
      <c r="F10" s="47">
        <f>SUM(F6:F9)</f>
        <v>554483</v>
      </c>
      <c r="G10" s="99">
        <f>C10-F10</f>
        <v>0</v>
      </c>
    </row>
    <row r="11" spans="1:9" ht="15.75" thickTop="1">
      <c r="A11" s="76"/>
      <c r="B11" s="41"/>
      <c r="C11" s="44"/>
      <c r="D11" s="76"/>
      <c r="E11" s="41"/>
      <c r="F11" s="41"/>
    </row>
    <row r="12" spans="1:9">
      <c r="A12" s="76" t="s">
        <v>59</v>
      </c>
      <c r="B12" s="41"/>
      <c r="C12" s="44">
        <f>7860+3440</f>
        <v>11300</v>
      </c>
      <c r="D12" s="76" t="s">
        <v>58</v>
      </c>
      <c r="E12" s="41"/>
      <c r="F12" s="41">
        <f>C9</f>
        <v>299005</v>
      </c>
    </row>
    <row r="13" spans="1:9">
      <c r="A13" s="76" t="s">
        <v>2</v>
      </c>
      <c r="B13" s="41"/>
      <c r="C13" s="44">
        <f>E25</f>
        <v>13170</v>
      </c>
      <c r="D13" s="76"/>
      <c r="E13" s="41"/>
      <c r="F13" s="41"/>
    </row>
    <row r="14" spans="1:9">
      <c r="A14" s="76" t="s">
        <v>75</v>
      </c>
      <c r="B14" s="41"/>
      <c r="C14" s="44">
        <f>32905-2270-6880</f>
        <v>23755</v>
      </c>
      <c r="D14" s="76"/>
      <c r="E14" s="41"/>
      <c r="F14" s="41"/>
    </row>
    <row r="15" spans="1:9">
      <c r="A15" s="76"/>
      <c r="B15" s="41"/>
      <c r="C15" s="44"/>
      <c r="D15" s="76"/>
      <c r="E15" s="41"/>
      <c r="F15" s="41"/>
    </row>
    <row r="16" spans="1:9">
      <c r="A16" s="84" t="s">
        <v>5</v>
      </c>
      <c r="B16" s="41"/>
      <c r="C16" s="45">
        <v>250780</v>
      </c>
      <c r="D16" s="76"/>
      <c r="E16" s="41"/>
      <c r="F16" s="41"/>
    </row>
    <row r="17" spans="1:8">
      <c r="A17" s="76"/>
      <c r="B17" s="41"/>
      <c r="C17" s="44"/>
      <c r="D17" s="76"/>
      <c r="E17" s="41"/>
      <c r="F17" s="41"/>
    </row>
    <row r="18" spans="1:8" ht="15.75" thickBot="1">
      <c r="A18" s="77"/>
      <c r="B18" s="40"/>
      <c r="C18" s="46">
        <f>SUM(C12:C17)</f>
        <v>299005</v>
      </c>
      <c r="D18" s="77"/>
      <c r="E18" s="40"/>
      <c r="F18" s="47">
        <f>SUM(F12:F17)</f>
        <v>299005</v>
      </c>
      <c r="G18" s="99">
        <f>C18-F18</f>
        <v>0</v>
      </c>
      <c r="H18" s="78"/>
    </row>
    <row r="19" spans="1:8" ht="15.75" thickTop="1"/>
    <row r="20" spans="1:8" ht="15.75">
      <c r="A20" s="129" t="s">
        <v>40</v>
      </c>
      <c r="B20" s="129"/>
      <c r="C20" s="129"/>
      <c r="D20" s="129"/>
      <c r="E20" s="129"/>
      <c r="F20" s="129"/>
    </row>
    <row r="21" spans="1:8" ht="6.75" customHeight="1">
      <c r="A21" s="7"/>
      <c r="B21" s="109"/>
      <c r="C21" s="109"/>
      <c r="D21" s="7"/>
      <c r="E21" s="109"/>
      <c r="F21" s="109"/>
    </row>
    <row r="22" spans="1:8" s="81" customFormat="1">
      <c r="A22" s="80" t="s">
        <v>6</v>
      </c>
      <c r="B22" s="110" t="s">
        <v>1</v>
      </c>
      <c r="C22" s="110" t="s">
        <v>1</v>
      </c>
      <c r="D22" s="80" t="s">
        <v>7</v>
      </c>
      <c r="E22" s="110" t="s">
        <v>1</v>
      </c>
      <c r="F22" s="110" t="s">
        <v>1</v>
      </c>
      <c r="G22" s="87"/>
    </row>
    <row r="23" spans="1:8">
      <c r="A23" s="100" t="s">
        <v>14</v>
      </c>
      <c r="B23" s="39">
        <f>57800-12040</f>
        <v>45760</v>
      </c>
      <c r="C23" s="39"/>
      <c r="D23" s="101" t="s">
        <v>16</v>
      </c>
      <c r="E23" s="48"/>
      <c r="F23" s="39"/>
    </row>
    <row r="24" spans="1:8">
      <c r="A24" s="102" t="s">
        <v>13</v>
      </c>
      <c r="B24" s="40">
        <f>C16</f>
        <v>250780</v>
      </c>
      <c r="C24" s="41">
        <f>B24+B23</f>
        <v>296540</v>
      </c>
      <c r="D24" s="103" t="s">
        <v>52</v>
      </c>
      <c r="E24" s="49">
        <v>87800</v>
      </c>
      <c r="F24" s="41"/>
    </row>
    <row r="25" spans="1:8">
      <c r="A25" s="102"/>
      <c r="B25" s="41"/>
      <c r="C25" s="41"/>
      <c r="D25" s="104" t="s">
        <v>21</v>
      </c>
      <c r="E25" s="50">
        <f>ROUND((E24*15/100),0)</f>
        <v>13170</v>
      </c>
      <c r="F25" s="41">
        <f>E24-E25</f>
        <v>74630</v>
      </c>
    </row>
    <row r="26" spans="1:8">
      <c r="A26" s="102"/>
      <c r="B26" s="41"/>
      <c r="C26" s="41"/>
      <c r="D26" s="105"/>
      <c r="E26" s="49"/>
      <c r="F26" s="41"/>
    </row>
    <row r="27" spans="1:8">
      <c r="A27" s="102"/>
      <c r="B27" s="41"/>
      <c r="C27" s="41"/>
      <c r="D27" s="103" t="s">
        <v>72</v>
      </c>
      <c r="E27" s="49">
        <v>230560</v>
      </c>
      <c r="F27" s="41"/>
    </row>
    <row r="28" spans="1:8">
      <c r="A28" s="102"/>
      <c r="B28" s="41"/>
      <c r="C28" s="41"/>
      <c r="D28" s="104" t="s">
        <v>21</v>
      </c>
      <c r="E28" s="50">
        <f>ROUND((E27*15/100),0)</f>
        <v>34584</v>
      </c>
      <c r="F28" s="41">
        <f>E27-E28</f>
        <v>195976</v>
      </c>
    </row>
    <row r="29" spans="1:8">
      <c r="A29" s="102"/>
      <c r="B29" s="41"/>
      <c r="C29" s="41"/>
      <c r="D29" s="105"/>
      <c r="E29" s="49"/>
      <c r="F29" s="41"/>
    </row>
    <row r="30" spans="1:8">
      <c r="A30" s="102" t="s">
        <v>15</v>
      </c>
      <c r="B30" s="41"/>
      <c r="C30" s="41">
        <v>7600</v>
      </c>
      <c r="D30" s="106" t="s">
        <v>46</v>
      </c>
      <c r="E30" s="51"/>
      <c r="F30" s="41"/>
    </row>
    <row r="31" spans="1:8">
      <c r="A31" s="102" t="s">
        <v>45</v>
      </c>
      <c r="B31" s="41"/>
      <c r="C31" s="41">
        <v>5400</v>
      </c>
      <c r="D31" s="103" t="s">
        <v>17</v>
      </c>
      <c r="E31" s="51"/>
      <c r="F31" s="41">
        <f>8700-3925+726+5900</f>
        <v>11401</v>
      </c>
    </row>
    <row r="32" spans="1:8">
      <c r="A32" s="102"/>
      <c r="B32" s="41"/>
      <c r="C32" s="41"/>
      <c r="D32" s="103" t="s">
        <v>18</v>
      </c>
      <c r="E32" s="51"/>
      <c r="F32" s="41">
        <v>0</v>
      </c>
    </row>
    <row r="33" spans="1:7">
      <c r="A33" s="102"/>
      <c r="B33" s="41"/>
      <c r="C33" s="41"/>
      <c r="D33" s="103" t="s">
        <v>19</v>
      </c>
      <c r="E33" s="51"/>
      <c r="F33" s="41">
        <v>2760</v>
      </c>
    </row>
    <row r="34" spans="1:7">
      <c r="A34" s="102"/>
      <c r="B34" s="41"/>
      <c r="C34" s="41"/>
      <c r="D34" s="103" t="s">
        <v>20</v>
      </c>
      <c r="E34" s="51"/>
      <c r="F34" s="41">
        <f>ROUND(('Comp AY 2015-16'!M10),0)</f>
        <v>24773</v>
      </c>
    </row>
    <row r="35" spans="1:7">
      <c r="A35" s="102"/>
      <c r="B35" s="41"/>
      <c r="C35" s="41"/>
      <c r="D35" s="104"/>
      <c r="E35" s="51"/>
      <c r="F35" s="41"/>
    </row>
    <row r="36" spans="1:7" ht="15.75" thickBot="1">
      <c r="A36" s="107"/>
      <c r="B36" s="42"/>
      <c r="C36" s="47">
        <f>SUM(C23:C34)</f>
        <v>309540</v>
      </c>
      <c r="D36" s="108"/>
      <c r="E36" s="52"/>
      <c r="F36" s="47">
        <f>SUM(F23:F35)</f>
        <v>309540</v>
      </c>
      <c r="G36" s="99">
        <f>C36-F36</f>
        <v>0</v>
      </c>
    </row>
    <row r="37" spans="1:7" ht="15.75" thickTop="1"/>
    <row r="38" spans="1:7">
      <c r="A38" s="128" t="s">
        <v>47</v>
      </c>
      <c r="B38" s="128"/>
      <c r="C38" s="128"/>
    </row>
    <row r="40" spans="1:7">
      <c r="A40" s="128" t="s">
        <v>48</v>
      </c>
      <c r="B40" s="128"/>
    </row>
    <row r="41" spans="1:7">
      <c r="A41" s="128" t="s">
        <v>49</v>
      </c>
      <c r="B41" s="128"/>
    </row>
    <row r="42" spans="1:7">
      <c r="A42" s="128" t="s">
        <v>50</v>
      </c>
      <c r="B42" s="128"/>
    </row>
    <row r="43" spans="1:7">
      <c r="A43" s="55"/>
      <c r="B43" s="111"/>
    </row>
    <row r="44" spans="1:7">
      <c r="A44" s="55"/>
      <c r="B44" s="111"/>
    </row>
    <row r="45" spans="1:7">
      <c r="A45" s="55"/>
      <c r="B45" s="111"/>
    </row>
    <row r="46" spans="1:7">
      <c r="A46" s="128" t="s">
        <v>61</v>
      </c>
      <c r="B46" s="128"/>
    </row>
    <row r="47" spans="1:7">
      <c r="A47" s="128" t="s">
        <v>51</v>
      </c>
      <c r="B47" s="128"/>
    </row>
    <row r="48" spans="1:7">
      <c r="A48" s="128" t="s">
        <v>62</v>
      </c>
      <c r="B48" s="128"/>
    </row>
  </sheetData>
  <mergeCells count="11">
    <mergeCell ref="A1:F1"/>
    <mergeCell ref="A3:F3"/>
    <mergeCell ref="A20:F20"/>
    <mergeCell ref="A38:C38"/>
    <mergeCell ref="A40:B40"/>
    <mergeCell ref="A2:F2"/>
    <mergeCell ref="A41:B41"/>
    <mergeCell ref="A42:B42"/>
    <mergeCell ref="A46:B46"/>
    <mergeCell ref="A47:B47"/>
    <mergeCell ref="A48:B48"/>
  </mergeCells>
  <pageMargins left="0.61" right="0.33" top="0.4" bottom="0.34" header="0.3" footer="0.3"/>
  <pageSetup orientation="portrait" r:id="rId1"/>
  <ignoredErrors>
    <ignoredError sqref="F36 F10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BreakPreview" zoomScaleSheetLayoutView="100" workbookViewId="0">
      <selection activeCell="I13" sqref="I13"/>
    </sheetView>
  </sheetViews>
  <sheetFormatPr defaultRowHeight="15"/>
  <cols>
    <col min="1" max="1" width="20.85546875" style="2" bestFit="1" customWidth="1"/>
    <col min="2" max="2" width="1.5703125" style="2" bestFit="1" customWidth="1"/>
    <col min="3" max="3" width="26.7109375" style="2" bestFit="1" customWidth="1"/>
    <col min="4" max="6" width="9.140625" style="2"/>
    <col min="7" max="8" width="9.140625" style="2" bestFit="1" customWidth="1"/>
    <col min="9" max="16384" width="9.140625" style="2"/>
  </cols>
  <sheetData>
    <row r="1" spans="1:9" ht="18.75">
      <c r="A1" s="125" t="str">
        <f>'Comp AY 2015-16'!A1:H1</f>
        <v>INCOME TAX RETURN</v>
      </c>
      <c r="B1" s="125"/>
      <c r="C1" s="125"/>
      <c r="D1" s="125"/>
      <c r="E1" s="125"/>
      <c r="F1" s="125"/>
      <c r="G1" s="125"/>
      <c r="H1" s="125"/>
    </row>
    <row r="3" spans="1:9">
      <c r="A3" s="9" t="s">
        <v>39</v>
      </c>
      <c r="B3" s="9" t="s">
        <v>8</v>
      </c>
      <c r="C3" s="55" t="str">
        <f>'Comp AY 2015-16'!C3</f>
        <v>Tanaji Laxman Pol</v>
      </c>
      <c r="D3" s="11"/>
      <c r="E3" s="11"/>
      <c r="F3" s="11"/>
      <c r="G3" s="11"/>
    </row>
    <row r="4" spans="1:9" ht="30" customHeight="1">
      <c r="A4" s="10" t="s">
        <v>9</v>
      </c>
      <c r="B4" s="10" t="s">
        <v>8</v>
      </c>
      <c r="C4" s="132" t="str">
        <f>'Comp AY 2015-16'!C4:H4</f>
        <v>Navjivan Sahkar Mandal, Waman Tukaram Patil Marg, Kashinath Patil Wadi, Mukti Nagar, Khardev Nagar, Chembur, Mumbai - 400071.</v>
      </c>
      <c r="D4" s="132"/>
      <c r="E4" s="132"/>
      <c r="F4" s="132"/>
      <c r="G4" s="132"/>
      <c r="H4" s="132"/>
    </row>
    <row r="5" spans="1:9">
      <c r="A5" s="9" t="s">
        <v>23</v>
      </c>
      <c r="B5" s="9" t="s">
        <v>8</v>
      </c>
      <c r="C5" s="26" t="str">
        <f>'Comp AY 2015-16'!C5</f>
        <v>BBJPP6331E</v>
      </c>
      <c r="D5" s="11"/>
      <c r="E5" s="11"/>
      <c r="F5" s="11"/>
      <c r="G5" s="11"/>
    </row>
    <row r="6" spans="1:9">
      <c r="A6" s="9" t="s">
        <v>24</v>
      </c>
      <c r="B6" s="10" t="s">
        <v>8</v>
      </c>
      <c r="C6" s="27">
        <f>'Comp AY 2015-16'!C6</f>
        <v>28948</v>
      </c>
      <c r="D6" s="11"/>
      <c r="E6" s="11"/>
      <c r="F6" s="11"/>
      <c r="G6" s="11"/>
    </row>
    <row r="7" spans="1:9">
      <c r="A7" s="9" t="s">
        <v>10</v>
      </c>
      <c r="B7" s="10" t="s">
        <v>8</v>
      </c>
      <c r="C7" s="11" t="s">
        <v>11</v>
      </c>
      <c r="D7" s="11"/>
      <c r="E7" s="11"/>
      <c r="F7" s="11"/>
      <c r="G7" s="11"/>
    </row>
    <row r="8" spans="1:9">
      <c r="A8" s="9" t="s">
        <v>25</v>
      </c>
      <c r="B8" s="10" t="s">
        <v>8</v>
      </c>
      <c r="C8" s="11" t="s">
        <v>74</v>
      </c>
      <c r="D8" s="11"/>
      <c r="E8" s="11"/>
      <c r="F8" s="11"/>
      <c r="G8" s="11"/>
    </row>
    <row r="9" spans="1:9">
      <c r="A9" s="9" t="s">
        <v>26</v>
      </c>
      <c r="B9" s="10" t="s">
        <v>8</v>
      </c>
      <c r="C9" s="11" t="s">
        <v>27</v>
      </c>
      <c r="D9" s="11"/>
      <c r="E9" s="11"/>
      <c r="F9" s="11"/>
      <c r="G9" s="11"/>
    </row>
    <row r="10" spans="1:9">
      <c r="A10" s="9" t="s">
        <v>12</v>
      </c>
      <c r="B10" s="10" t="s">
        <v>8</v>
      </c>
      <c r="C10" s="12">
        <v>42947</v>
      </c>
      <c r="D10" s="11"/>
      <c r="E10" s="11"/>
      <c r="F10" s="11"/>
      <c r="G10" s="11"/>
    </row>
    <row r="12" spans="1:9" ht="18.75">
      <c r="A12" s="125" t="str">
        <f>'Comp AY 2015-16'!A12:H12</f>
        <v xml:space="preserve">COMPUTATION  OF  TOTAL  INCOME </v>
      </c>
      <c r="B12" s="125"/>
      <c r="C12" s="125"/>
      <c r="D12" s="125"/>
      <c r="E12" s="125"/>
      <c r="F12" s="125"/>
      <c r="G12" s="125"/>
      <c r="H12" s="125"/>
    </row>
    <row r="13" spans="1:9">
      <c r="A13" s="133" t="s">
        <v>0</v>
      </c>
      <c r="B13" s="133"/>
      <c r="C13" s="133"/>
      <c r="D13" s="133"/>
      <c r="E13" s="8" t="s">
        <v>1</v>
      </c>
      <c r="F13" s="8" t="s">
        <v>1</v>
      </c>
      <c r="G13" s="8" t="s">
        <v>1</v>
      </c>
      <c r="H13" s="8" t="s">
        <v>1</v>
      </c>
      <c r="I13" s="9"/>
    </row>
    <row r="14" spans="1:9">
      <c r="A14" s="123" t="s">
        <v>29</v>
      </c>
      <c r="B14" s="124"/>
      <c r="C14" s="124"/>
      <c r="D14" s="124"/>
      <c r="G14" s="3"/>
      <c r="H14" s="15"/>
    </row>
    <row r="15" spans="1:9">
      <c r="A15" s="130" t="str">
        <f>'Comp AY 2015-16'!A15:D15</f>
        <v>Fishery Business</v>
      </c>
      <c r="B15" s="131"/>
      <c r="C15" s="131"/>
      <c r="D15" s="131"/>
      <c r="G15" s="32">
        <f>'FS AY 2016-17'!C16</f>
        <v>270800</v>
      </c>
      <c r="H15" s="33"/>
    </row>
    <row r="16" spans="1:9">
      <c r="A16" s="130" t="s">
        <v>31</v>
      </c>
      <c r="B16" s="131"/>
      <c r="C16" s="131"/>
      <c r="D16" s="131"/>
      <c r="G16" s="34" t="s">
        <v>32</v>
      </c>
      <c r="H16" s="34">
        <f>G15</f>
        <v>270800</v>
      </c>
    </row>
    <row r="17" spans="1:8">
      <c r="A17" s="130"/>
      <c r="B17" s="131"/>
      <c r="C17" s="131"/>
      <c r="D17" s="131"/>
      <c r="G17" s="32"/>
      <c r="H17" s="33"/>
    </row>
    <row r="18" spans="1:8">
      <c r="A18" s="123" t="s">
        <v>33</v>
      </c>
      <c r="B18" s="124"/>
      <c r="C18" s="124"/>
      <c r="D18" s="124"/>
      <c r="G18" s="32">
        <f>H16</f>
        <v>270800</v>
      </c>
      <c r="H18" s="33"/>
    </row>
    <row r="19" spans="1:8">
      <c r="A19" s="130" t="s">
        <v>34</v>
      </c>
      <c r="B19" s="131"/>
      <c r="C19" s="131"/>
      <c r="D19" s="131"/>
      <c r="G19" s="34" t="s">
        <v>32</v>
      </c>
      <c r="H19" s="34">
        <f>G18</f>
        <v>270800</v>
      </c>
    </row>
    <row r="20" spans="1:8">
      <c r="A20" s="130"/>
      <c r="B20" s="131"/>
      <c r="C20" s="131"/>
      <c r="D20" s="131"/>
      <c r="G20" s="32"/>
      <c r="H20" s="33"/>
    </row>
    <row r="21" spans="1:8">
      <c r="A21" s="123" t="s">
        <v>35</v>
      </c>
      <c r="B21" s="124"/>
      <c r="C21" s="124"/>
      <c r="D21" s="124"/>
      <c r="G21" s="32"/>
      <c r="H21" s="33">
        <f>H19</f>
        <v>270800</v>
      </c>
    </row>
    <row r="22" spans="1:8">
      <c r="A22" s="130"/>
      <c r="B22" s="131"/>
      <c r="C22" s="131"/>
      <c r="D22" s="131"/>
      <c r="G22" s="32"/>
      <c r="H22" s="33"/>
    </row>
    <row r="23" spans="1:8">
      <c r="A23" s="121" t="s">
        <v>41</v>
      </c>
      <c r="B23" s="122"/>
      <c r="C23" s="122"/>
      <c r="D23" s="122"/>
      <c r="E23" s="14"/>
      <c r="F23" s="14"/>
      <c r="G23" s="35" t="s">
        <v>32</v>
      </c>
      <c r="H23" s="36"/>
    </row>
    <row r="24" spans="1:8">
      <c r="A24" s="16"/>
      <c r="B24" s="13"/>
      <c r="C24" s="13"/>
      <c r="D24" s="13"/>
      <c r="G24" s="32"/>
      <c r="H24" s="33"/>
    </row>
    <row r="25" spans="1:8">
      <c r="A25" s="130" t="s">
        <v>36</v>
      </c>
      <c r="B25" s="131"/>
      <c r="C25" s="131"/>
      <c r="D25" s="131"/>
      <c r="G25" s="34">
        <v>-2000</v>
      </c>
      <c r="H25" s="34" t="s">
        <v>32</v>
      </c>
    </row>
    <row r="26" spans="1:8">
      <c r="A26" s="130"/>
      <c r="B26" s="131"/>
      <c r="C26" s="131"/>
      <c r="D26" s="131"/>
      <c r="G26" s="32"/>
      <c r="H26" s="33"/>
    </row>
    <row r="27" spans="1:8">
      <c r="A27" s="123" t="s">
        <v>42</v>
      </c>
      <c r="B27" s="124"/>
      <c r="C27" s="124"/>
      <c r="D27" s="124"/>
      <c r="G27" s="32"/>
      <c r="H27" s="33"/>
    </row>
    <row r="28" spans="1:8">
      <c r="A28" s="18" t="s">
        <v>37</v>
      </c>
      <c r="B28" s="21"/>
      <c r="C28" s="21"/>
      <c r="D28" s="21"/>
      <c r="G28" s="32" t="s">
        <v>32</v>
      </c>
      <c r="H28" s="33"/>
    </row>
    <row r="29" spans="1:8">
      <c r="A29" s="130" t="s">
        <v>38</v>
      </c>
      <c r="B29" s="131"/>
      <c r="C29" s="131"/>
      <c r="D29" s="131"/>
      <c r="G29" s="37" t="s">
        <v>32</v>
      </c>
      <c r="H29" s="34" t="s">
        <v>32</v>
      </c>
    </row>
    <row r="30" spans="1:8">
      <c r="A30" s="22"/>
      <c r="B30" s="23"/>
      <c r="C30" s="23"/>
      <c r="D30" s="23"/>
      <c r="G30" s="32"/>
      <c r="H30" s="33"/>
    </row>
    <row r="31" spans="1:8">
      <c r="A31" s="28" t="s">
        <v>43</v>
      </c>
      <c r="B31" s="23"/>
      <c r="C31" s="23"/>
      <c r="D31" s="23"/>
      <c r="G31" s="38"/>
      <c r="H31" s="33" t="s">
        <v>32</v>
      </c>
    </row>
    <row r="32" spans="1:8">
      <c r="A32" s="130"/>
      <c r="B32" s="131"/>
      <c r="C32" s="131"/>
      <c r="D32" s="131"/>
      <c r="G32" s="32"/>
      <c r="H32" s="33"/>
    </row>
    <row r="33" spans="1:8">
      <c r="A33" s="119" t="s">
        <v>44</v>
      </c>
      <c r="B33" s="120"/>
      <c r="C33" s="120"/>
      <c r="D33" s="120"/>
      <c r="E33" s="17"/>
      <c r="F33" s="17"/>
      <c r="G33" s="19"/>
      <c r="H33" s="20" t="s">
        <v>32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9"/>
  <sheetViews>
    <sheetView tabSelected="1" view="pageBreakPreview" zoomScaleSheetLayoutView="100" workbookViewId="0">
      <selection activeCell="I13" sqref="I13"/>
    </sheetView>
  </sheetViews>
  <sheetFormatPr defaultRowHeight="15"/>
  <cols>
    <col min="1" max="1" width="26.7109375" customWidth="1"/>
    <col min="2" max="2" width="10.28515625" customWidth="1"/>
    <col min="3" max="3" width="10.28515625" bestFit="1" customWidth="1"/>
    <col min="4" max="4" width="26.7109375" customWidth="1"/>
    <col min="5" max="6" width="10.28515625" customWidth="1"/>
    <col min="7" max="8" width="9.7109375" bestFit="1" customWidth="1"/>
  </cols>
  <sheetData>
    <row r="1" spans="1:8" ht="15.75">
      <c r="A1" s="129" t="str">
        <f>'FS AY 2015-16'!A1:F1</f>
        <v>Books of Mr. Tanaji Laxman Pol</v>
      </c>
      <c r="B1" s="129"/>
      <c r="C1" s="129"/>
      <c r="D1" s="129"/>
      <c r="E1" s="129"/>
      <c r="F1" s="129"/>
      <c r="G1" s="1"/>
      <c r="H1" s="1"/>
    </row>
    <row r="2" spans="1:8" ht="15.75">
      <c r="A2" s="129"/>
      <c r="B2" s="129"/>
      <c r="C2" s="129"/>
      <c r="D2" s="129"/>
      <c r="E2" s="129"/>
      <c r="F2" s="129"/>
      <c r="G2" s="1"/>
      <c r="H2" s="1"/>
    </row>
    <row r="3" spans="1:8" ht="15.75">
      <c r="A3" s="129" t="s">
        <v>3</v>
      </c>
      <c r="B3" s="129"/>
      <c r="C3" s="129"/>
      <c r="D3" s="129"/>
      <c r="E3" s="129"/>
      <c r="F3" s="129"/>
      <c r="G3" s="1"/>
      <c r="H3" s="1"/>
    </row>
    <row r="4" spans="1:8" ht="7.5" customHeight="1">
      <c r="A4" s="7"/>
      <c r="B4" s="7"/>
      <c r="C4" s="7"/>
      <c r="D4" s="7"/>
      <c r="E4" s="7"/>
      <c r="F4" s="7"/>
    </row>
    <row r="5" spans="1:8" s="83" customFormat="1">
      <c r="A5" s="80" t="s">
        <v>0</v>
      </c>
      <c r="B5" s="91" t="s">
        <v>1</v>
      </c>
      <c r="C5" s="80" t="s">
        <v>1</v>
      </c>
      <c r="D5" s="80" t="s">
        <v>0</v>
      </c>
      <c r="E5" s="80" t="s">
        <v>1</v>
      </c>
      <c r="F5" s="80" t="s">
        <v>1</v>
      </c>
    </row>
    <row r="6" spans="1:8">
      <c r="A6" s="24" t="str">
        <f>'FS AY 2015-16'!A6</f>
        <v>To Opening Stock</v>
      </c>
      <c r="B6" s="3"/>
      <c r="C6" s="44">
        <f>'FS AY 2015-16'!F9</f>
        <v>0</v>
      </c>
      <c r="D6" s="4" t="str">
        <f>'FS AY 2015-16'!D6</f>
        <v>By Gross receipts</v>
      </c>
      <c r="E6" s="4"/>
      <c r="F6" s="4">
        <v>760780</v>
      </c>
    </row>
    <row r="7" spans="1:8">
      <c r="A7" s="24" t="str">
        <f>'FS AY 2015-16'!A7</f>
        <v>To Purchases</v>
      </c>
      <c r="B7" s="4"/>
      <c r="C7" s="44">
        <f>F6*0.44</f>
        <v>334743.2</v>
      </c>
      <c r="D7" s="4"/>
      <c r="E7" s="4"/>
      <c r="F7" s="4"/>
    </row>
    <row r="8" spans="1:8">
      <c r="A8" s="24" t="str">
        <f>'FS AY 2015-16'!A8</f>
        <v>To Direct Expenses</v>
      </c>
      <c r="B8" s="4"/>
      <c r="C8" s="44">
        <v>67800</v>
      </c>
      <c r="D8" s="4"/>
      <c r="E8" s="4"/>
      <c r="F8" s="4"/>
    </row>
    <row r="9" spans="1:8">
      <c r="A9" s="24" t="str">
        <f>'FS AY 2015-16'!A9</f>
        <v>To Gross Profit c/d</v>
      </c>
      <c r="B9" s="4"/>
      <c r="C9" s="44">
        <f>F10-(SUM(C6:C8))</f>
        <v>358236.8</v>
      </c>
      <c r="D9" s="4" t="str">
        <f>'FS AY 2015-16'!D9</f>
        <v>By Closing Stock</v>
      </c>
      <c r="E9" s="4"/>
      <c r="F9" s="4">
        <v>0</v>
      </c>
    </row>
    <row r="10" spans="1:8" ht="15.75" thickBot="1">
      <c r="A10" s="24"/>
      <c r="B10" s="4"/>
      <c r="C10" s="47">
        <f>SUM(C6:C9)</f>
        <v>760780</v>
      </c>
      <c r="D10" s="84"/>
      <c r="E10" s="84"/>
      <c r="F10" s="94">
        <f>SUM(F6:F9)</f>
        <v>760780</v>
      </c>
      <c r="G10" s="6">
        <f>C10-F10</f>
        <v>0</v>
      </c>
    </row>
    <row r="11" spans="1:8" ht="15.75" thickTop="1">
      <c r="A11" s="24"/>
      <c r="B11" s="4"/>
      <c r="C11" s="44"/>
      <c r="D11" s="4"/>
      <c r="E11" s="4"/>
      <c r="F11" s="4"/>
    </row>
    <row r="12" spans="1:8">
      <c r="A12" s="24" t="str">
        <f>'FS AY 2015-16'!A12</f>
        <v>To Travelling Expenses</v>
      </c>
      <c r="B12" s="4"/>
      <c r="C12" s="44">
        <f>'FS AY 2015-16'!C12*115/100</f>
        <v>12995</v>
      </c>
      <c r="D12" s="4" t="str">
        <f>'FS AY 2015-16'!D12</f>
        <v>By Gross Profit b/d</v>
      </c>
      <c r="E12" s="4"/>
      <c r="F12" s="95">
        <f>C9</f>
        <v>358236.8</v>
      </c>
    </row>
    <row r="13" spans="1:8">
      <c r="A13" s="24" t="s">
        <v>2</v>
      </c>
      <c r="B13" s="4"/>
      <c r="C13" s="44">
        <f>E25+E28</f>
        <v>40590.5</v>
      </c>
      <c r="D13" s="4"/>
      <c r="E13" s="4"/>
      <c r="F13" s="95"/>
    </row>
    <row r="14" spans="1:8">
      <c r="A14" s="24" t="str">
        <f>'FS AY 2015-16'!A14</f>
        <v>To Misc. Expenses</v>
      </c>
      <c r="B14" s="4"/>
      <c r="C14" s="44">
        <f>'FS AY 2015-16'!C14*115/100+6533</f>
        <v>33851.25</v>
      </c>
      <c r="D14" s="4"/>
      <c r="E14" s="4"/>
      <c r="F14" s="4"/>
    </row>
    <row r="15" spans="1:8">
      <c r="A15" s="24"/>
      <c r="B15" s="4"/>
      <c r="C15" s="44"/>
      <c r="D15" s="4"/>
      <c r="E15" s="4"/>
      <c r="F15" s="4"/>
    </row>
    <row r="16" spans="1:8">
      <c r="A16" s="92" t="str">
        <f>'FS AY 2015-16'!A16</f>
        <v>To Net Profit</v>
      </c>
      <c r="B16" s="4"/>
      <c r="C16" s="45">
        <v>270800</v>
      </c>
      <c r="D16" s="4"/>
      <c r="E16" s="4"/>
      <c r="F16" s="4"/>
    </row>
    <row r="17" spans="1:8">
      <c r="A17" s="24"/>
      <c r="B17" s="4"/>
      <c r="C17" s="44"/>
      <c r="D17" s="4"/>
      <c r="E17" s="4"/>
      <c r="F17" s="41"/>
    </row>
    <row r="18" spans="1:8" ht="15.75" thickBot="1">
      <c r="A18" s="93"/>
      <c r="B18" s="5"/>
      <c r="C18" s="46">
        <f>SUM(C12:C17)</f>
        <v>358236.75</v>
      </c>
      <c r="D18" s="5"/>
      <c r="E18" s="5"/>
      <c r="F18" s="47">
        <f>SUM(F12:F17)</f>
        <v>358236.8</v>
      </c>
      <c r="G18" s="6">
        <f>C18-F18</f>
        <v>-4.9999999988358468E-2</v>
      </c>
      <c r="H18" s="6"/>
    </row>
    <row r="19" spans="1:8" ht="15.75" thickTop="1"/>
    <row r="20" spans="1:8" ht="15.75">
      <c r="A20" s="129" t="s">
        <v>40</v>
      </c>
      <c r="B20" s="129"/>
      <c r="C20" s="129"/>
      <c r="D20" s="129"/>
      <c r="E20" s="129"/>
      <c r="F20" s="129"/>
    </row>
    <row r="21" spans="1:8" ht="6" customHeight="1">
      <c r="A21" s="7"/>
      <c r="B21" s="7"/>
      <c r="C21" s="7"/>
      <c r="D21" s="7"/>
      <c r="E21" s="7"/>
      <c r="F21" s="7"/>
    </row>
    <row r="22" spans="1:8" s="83" customFormat="1">
      <c r="A22" s="80" t="s">
        <v>6</v>
      </c>
      <c r="B22" s="114" t="s">
        <v>1</v>
      </c>
      <c r="C22" s="114" t="s">
        <v>1</v>
      </c>
      <c r="D22" s="80" t="s">
        <v>7</v>
      </c>
      <c r="E22" s="80" t="s">
        <v>1</v>
      </c>
      <c r="F22" s="80" t="s">
        <v>1</v>
      </c>
    </row>
    <row r="23" spans="1:8">
      <c r="A23" s="53" t="s">
        <v>14</v>
      </c>
      <c r="B23" s="39">
        <f>('FS AY 2015-16'!C24)</f>
        <v>296540</v>
      </c>
      <c r="C23" s="39"/>
      <c r="D23" s="112" t="s">
        <v>16</v>
      </c>
      <c r="E23" s="48"/>
      <c r="F23" s="39"/>
    </row>
    <row r="24" spans="1:8">
      <c r="A24" s="24" t="s">
        <v>13</v>
      </c>
      <c r="B24" s="41">
        <f>C16</f>
        <v>270800</v>
      </c>
      <c r="C24" s="4"/>
      <c r="D24" s="113" t="s">
        <v>52</v>
      </c>
      <c r="E24" s="49">
        <f>'FS AY 2015-16'!F25</f>
        <v>74630</v>
      </c>
      <c r="F24" s="41"/>
    </row>
    <row r="25" spans="1:8">
      <c r="A25" s="24" t="s">
        <v>76</v>
      </c>
      <c r="B25" s="40">
        <v>291586</v>
      </c>
      <c r="C25" s="41">
        <f>B23+B24-B25</f>
        <v>275754</v>
      </c>
      <c r="D25" s="56" t="s">
        <v>21</v>
      </c>
      <c r="E25" s="50">
        <f>E24*15/100</f>
        <v>11194.5</v>
      </c>
      <c r="F25" s="41">
        <f>E24-E25</f>
        <v>63435.5</v>
      </c>
    </row>
    <row r="26" spans="1:8">
      <c r="A26" s="24"/>
      <c r="B26" s="51"/>
      <c r="C26" s="41"/>
      <c r="D26" s="56"/>
      <c r="E26" s="49"/>
      <c r="F26" s="41"/>
    </row>
    <row r="27" spans="1:8">
      <c r="A27" s="24"/>
      <c r="B27" s="51"/>
      <c r="C27" s="41"/>
      <c r="D27" s="115" t="s">
        <v>72</v>
      </c>
      <c r="E27" s="49">
        <f>'FS AY 2015-16'!F28</f>
        <v>195976</v>
      </c>
      <c r="F27" s="41"/>
      <c r="H27" s="6"/>
    </row>
    <row r="28" spans="1:8">
      <c r="A28" s="24"/>
      <c r="B28" s="51"/>
      <c r="C28" s="41"/>
      <c r="D28" s="105" t="s">
        <v>21</v>
      </c>
      <c r="E28" s="50">
        <f>ROUND((E27*15/100),0)</f>
        <v>29396</v>
      </c>
      <c r="F28" s="41">
        <f>E27-E28</f>
        <v>166580</v>
      </c>
      <c r="H28" s="6"/>
    </row>
    <row r="29" spans="1:8">
      <c r="A29" s="24"/>
      <c r="B29" s="51"/>
      <c r="C29" s="41"/>
      <c r="D29" s="56"/>
      <c r="E29" s="49"/>
      <c r="F29" s="41"/>
      <c r="H29" s="6"/>
    </row>
    <row r="30" spans="1:8">
      <c r="A30" s="24"/>
      <c r="B30" s="51"/>
      <c r="C30" s="41"/>
      <c r="D30" s="54" t="s">
        <v>46</v>
      </c>
      <c r="E30" s="51"/>
      <c r="F30" s="41"/>
    </row>
    <row r="31" spans="1:8">
      <c r="A31" s="79" t="s">
        <v>15</v>
      </c>
      <c r="B31" s="51"/>
      <c r="C31" s="41">
        <f>(('FS AY 2015-16'!C30)*115/100)+1</f>
        <v>8741</v>
      </c>
      <c r="D31" s="113" t="s">
        <v>17</v>
      </c>
      <c r="E31" s="51"/>
      <c r="F31" s="41">
        <v>12460</v>
      </c>
    </row>
    <row r="32" spans="1:8">
      <c r="A32" s="79" t="s">
        <v>45</v>
      </c>
      <c r="B32" s="51"/>
      <c r="C32" s="41">
        <f>('FS AY 2015-16'!C31)*115/100</f>
        <v>6210</v>
      </c>
      <c r="D32" s="113" t="s">
        <v>18</v>
      </c>
      <c r="E32" s="51"/>
      <c r="F32" s="41">
        <f>F9</f>
        <v>0</v>
      </c>
    </row>
    <row r="33" spans="1:8">
      <c r="A33" s="24"/>
      <c r="B33" s="51"/>
      <c r="C33" s="41"/>
      <c r="D33" s="113" t="s">
        <v>19</v>
      </c>
      <c r="E33" s="51"/>
      <c r="F33" s="41">
        <v>2760</v>
      </c>
    </row>
    <row r="34" spans="1:8">
      <c r="A34" s="24"/>
      <c r="B34" s="51"/>
      <c r="C34" s="41"/>
      <c r="D34" s="113" t="s">
        <v>20</v>
      </c>
      <c r="E34" s="51"/>
      <c r="F34" s="41">
        <f>'Comp AY 2015-16'!M14</f>
        <v>45469.049999999988</v>
      </c>
    </row>
    <row r="35" spans="1:8">
      <c r="A35" s="24"/>
      <c r="B35" s="51"/>
      <c r="C35" s="41"/>
      <c r="D35" s="113"/>
      <c r="E35" s="51"/>
      <c r="F35" s="41"/>
    </row>
    <row r="36" spans="1:8">
      <c r="A36" s="25"/>
      <c r="B36" s="52"/>
      <c r="C36" s="43">
        <f>ROUND(SUM(C23:C34),0)</f>
        <v>290705</v>
      </c>
      <c r="D36" s="116"/>
      <c r="E36" s="52"/>
      <c r="F36" s="43">
        <f>ROUND(SUM(F23:F34),0)</f>
        <v>290705</v>
      </c>
      <c r="G36" s="6">
        <f>C36-F36</f>
        <v>0</v>
      </c>
      <c r="H36" s="6"/>
    </row>
    <row r="37" spans="1:8">
      <c r="H37" s="6"/>
    </row>
    <row r="38" spans="1:8">
      <c r="A38" s="128" t="s">
        <v>47</v>
      </c>
      <c r="B38" s="128"/>
      <c r="C38" s="128"/>
    </row>
    <row r="39" spans="1:8">
      <c r="A39" s="72"/>
    </row>
    <row r="40" spans="1:8">
      <c r="A40" s="128" t="s">
        <v>48</v>
      </c>
      <c r="B40" s="128"/>
    </row>
    <row r="41" spans="1:8">
      <c r="A41" s="128" t="s">
        <v>49</v>
      </c>
      <c r="B41" s="128"/>
    </row>
    <row r="42" spans="1:8">
      <c r="A42" s="128" t="s">
        <v>50</v>
      </c>
      <c r="B42" s="128"/>
    </row>
    <row r="43" spans="1:8">
      <c r="B43" s="26"/>
    </row>
    <row r="44" spans="1:8">
      <c r="A44" s="55"/>
      <c r="B44" s="26"/>
    </row>
    <row r="45" spans="1:8">
      <c r="A45" s="55"/>
      <c r="B45" s="26"/>
    </row>
    <row r="46" spans="1:8">
      <c r="A46" s="88" t="s">
        <v>61</v>
      </c>
      <c r="B46" s="88"/>
    </row>
    <row r="47" spans="1:8">
      <c r="A47" s="128" t="s">
        <v>51</v>
      </c>
      <c r="B47" s="128"/>
    </row>
    <row r="48" spans="1:8">
      <c r="A48" s="128" t="s">
        <v>62</v>
      </c>
      <c r="B48" s="128"/>
    </row>
    <row r="49" spans="1:1">
      <c r="A49" s="72"/>
    </row>
  </sheetData>
  <mergeCells count="10">
    <mergeCell ref="A1:F1"/>
    <mergeCell ref="A3:F3"/>
    <mergeCell ref="A20:F20"/>
    <mergeCell ref="A38:C38"/>
    <mergeCell ref="A48:B48"/>
    <mergeCell ref="A40:B40"/>
    <mergeCell ref="A41:B41"/>
    <mergeCell ref="A42:B42"/>
    <mergeCell ref="A47:B47"/>
    <mergeCell ref="A2:F2"/>
  </mergeCells>
  <pageMargins left="0.6" right="0.31" top="0.3" bottom="0.38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 AY 2015-16</vt:lpstr>
      <vt:lpstr>FS AY 2015-16</vt:lpstr>
      <vt:lpstr>Comp AY 2016-17</vt:lpstr>
      <vt:lpstr>FS AY 2016-17</vt:lpstr>
      <vt:lpstr>'Comp AY 2015-16'!Print_Area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SHCOPC19</cp:lastModifiedBy>
  <cp:lastPrinted>2018-01-10T14:34:42Z</cp:lastPrinted>
  <dcterms:created xsi:type="dcterms:W3CDTF">2016-04-27T15:18:27Z</dcterms:created>
  <dcterms:modified xsi:type="dcterms:W3CDTF">2018-01-10T14:34:44Z</dcterms:modified>
</cp:coreProperties>
</file>