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0\TDS\MSEB Pune\"/>
    </mc:Choice>
  </mc:AlternateContent>
  <xr:revisionPtr revIDLastSave="0" documentId="10_ncr:8100000_{C58F715B-7FB1-4D78-B18F-20D0BA181EB9}" xr6:coauthVersionLast="32" xr6:coauthVersionMax="32" xr10:uidLastSave="{00000000-0000-0000-0000-000000000000}"/>
  <bookViews>
    <workbookView xWindow="0" yWindow="0" windowWidth="19530" windowHeight="8130" tabRatio="856" activeTab="2" xr2:uid="{00000000-000D-0000-FFFF-FFFF00000000}"/>
  </bookViews>
  <sheets>
    <sheet name="Form 24Q Challan" sheetId="2" r:id="rId1"/>
    <sheet name="Form 24Q Deductee" sheetId="5" r:id="rId2"/>
    <sheet name="Form 24Q Salary Details" sheetId="3" r:id="rId3"/>
    <sheet name="Sheet1" sheetId="6" r:id="rId4"/>
  </sheets>
  <definedNames>
    <definedName name="_xlnm._FilterDatabase" localSheetId="0" hidden="1">'Form 24Q Challan'!$A$2:$Z$2</definedName>
    <definedName name="_xlnm._FilterDatabase" localSheetId="1" hidden="1">'Form 24Q Deductee'!$A$2:$AB$2</definedName>
    <definedName name="_xlnm._FilterDatabase" localSheetId="2" hidden="1">'Form 24Q Salary Details'!$A$3:$AQ$53</definedName>
    <definedName name="MinistryName">#REF!</definedName>
    <definedName name="RemCountry">#REF!</definedName>
    <definedName name="Remittance">#REF!</definedName>
    <definedName name="StateList">#REF!</definedName>
    <definedName name="TypeOfDed">#REF!</definedName>
    <definedName name="Z_08A3DA2C_51A0_4555_9AB0_E2DC0178DBF2_.wvu.Cols" localSheetId="0" hidden="1">'Form 24Q Challan'!$H:$H,'Form 24Q Challan'!$K:$K,'Form 24Q Challan'!$M:$M,'Form 24Q Challan'!$O:$P</definedName>
    <definedName name="Z_08A3DA2C_51A0_4555_9AB0_E2DC0178DBF2_.wvu.Cols" localSheetId="1" hidden="1">'Form 24Q Deductee'!$D:$E,'Form 24Q Deductee'!$N:$N,'Form 24Q Deductee'!$P:$P,'Form 24Q Deductee'!$U:$W</definedName>
    <definedName name="Z_08A3DA2C_51A0_4555_9AB0_E2DC0178DBF2_.wvu.Cols" localSheetId="2" hidden="1">'Form 24Q Salary Details'!$C:$C,'Form 24Q Salary Details'!$P:$P,'Form 24Q Salary Details'!$AG:$AG</definedName>
  </definedNames>
  <calcPr calcId="162913"/>
  <customWorkbookViews>
    <customWorkbookView name="Rohan - Personal View" guid="{08A3DA2C-51A0-4555-9AB0-E2DC0178DBF2}" mergeInterval="0" personalView="1" maximized="1" windowWidth="1148" windowHeight="674" tabRatio="574" activeSheetId="1"/>
  </customWorkbookViews>
</workbook>
</file>

<file path=xl/calcChain.xml><?xml version="1.0" encoding="utf-8"?>
<calcChain xmlns="http://schemas.openxmlformats.org/spreadsheetml/2006/main">
  <c r="AE4" i="3" l="1"/>
  <c r="AK38" i="3"/>
  <c r="AL38" i="3" s="1"/>
  <c r="AK32" i="3"/>
  <c r="AK29" i="3"/>
  <c r="AL29" i="3" s="1"/>
  <c r="AL32" i="3"/>
  <c r="AL26" i="3"/>
  <c r="AL25" i="3"/>
  <c r="AK27" i="3"/>
  <c r="AL27" i="3" s="1"/>
  <c r="AK26" i="3"/>
  <c r="AK25" i="3"/>
  <c r="AL11" i="3"/>
  <c r="AK11" i="3"/>
  <c r="J20" i="6" l="1"/>
  <c r="J22" i="6" s="1"/>
  <c r="L35" i="3"/>
  <c r="N13" i="3" l="1"/>
  <c r="N12" i="3"/>
  <c r="P12" i="3" s="1"/>
  <c r="N11" i="3"/>
  <c r="P11" i="3" s="1"/>
  <c r="N10" i="3"/>
  <c r="P10" i="3" s="1"/>
  <c r="N9" i="3"/>
  <c r="P9" i="3" s="1"/>
  <c r="N8" i="3"/>
  <c r="P8" i="3" s="1"/>
  <c r="N7" i="3"/>
  <c r="P7" i="3" s="1"/>
  <c r="N6" i="3"/>
  <c r="P6" i="3" s="1"/>
  <c r="N5" i="3"/>
  <c r="P5" i="3" s="1"/>
  <c r="N4" i="3"/>
  <c r="P4" i="3" s="1"/>
  <c r="P13" i="3"/>
  <c r="S4" i="3"/>
  <c r="AC4" i="3"/>
  <c r="AJ51" i="3"/>
  <c r="AL51" i="3" s="1"/>
  <c r="AJ40" i="3"/>
  <c r="AL40" i="3" s="1"/>
  <c r="AJ38" i="3"/>
  <c r="AJ29" i="3"/>
  <c r="AJ28" i="3"/>
  <c r="AJ23" i="3"/>
  <c r="AL23" i="3" s="1"/>
  <c r="AL5" i="3"/>
  <c r="AL6" i="3"/>
  <c r="AL7" i="3"/>
  <c r="AL8" i="3"/>
  <c r="AL9" i="3"/>
  <c r="AL12" i="3"/>
  <c r="AL13" i="3"/>
  <c r="AL14" i="3"/>
  <c r="AL15" i="3"/>
  <c r="AL17" i="3"/>
  <c r="AL19" i="3"/>
  <c r="AL20" i="3"/>
  <c r="AL21" i="3"/>
  <c r="AL22" i="3"/>
  <c r="AL24" i="3"/>
  <c r="AL28" i="3"/>
  <c r="AL30" i="3"/>
  <c r="AL31" i="3"/>
  <c r="AL33" i="3"/>
  <c r="AL34" i="3"/>
  <c r="AL35" i="3"/>
  <c r="AL36" i="3"/>
  <c r="AL37" i="3"/>
  <c r="AL39" i="3"/>
  <c r="AL41" i="3"/>
  <c r="AL42" i="3"/>
  <c r="AL43" i="3"/>
  <c r="AL44" i="3"/>
  <c r="AL45" i="3"/>
  <c r="AL46" i="3"/>
  <c r="AL47" i="3"/>
  <c r="AL48" i="3"/>
  <c r="AL49" i="3"/>
  <c r="AL50" i="3"/>
  <c r="AL52" i="3"/>
  <c r="AL53" i="3"/>
  <c r="AL4" i="3"/>
  <c r="AM4" i="3" s="1"/>
  <c r="AJ16" i="3"/>
  <c r="AL16" i="3" s="1"/>
  <c r="AJ18" i="3"/>
  <c r="AL18" i="3" s="1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P51" i="3" s="1"/>
  <c r="N52" i="3"/>
  <c r="P52" i="3" s="1"/>
  <c r="N53" i="3"/>
  <c r="P53" i="3" s="1"/>
  <c r="J17" i="6"/>
  <c r="S5" i="3"/>
  <c r="S6" i="3"/>
  <c r="S7" i="3"/>
  <c r="S8" i="3"/>
  <c r="AC5" i="3"/>
  <c r="AC6" i="3"/>
  <c r="AC7" i="3"/>
  <c r="AC8" i="3"/>
  <c r="AC9" i="3"/>
  <c r="S9" i="3"/>
  <c r="T30" i="3" l="1"/>
  <c r="V30" i="3" s="1"/>
  <c r="T35" i="3"/>
  <c r="V35" i="3" s="1"/>
  <c r="AD35" i="3" s="1"/>
  <c r="T31" i="3"/>
  <c r="V31" i="3" s="1"/>
  <c r="AD31" i="3" s="1"/>
  <c r="T37" i="3"/>
  <c r="V37" i="3" s="1"/>
  <c r="AD37" i="3" s="1"/>
  <c r="AE37" i="3" s="1"/>
  <c r="T5" i="3"/>
  <c r="V5" i="3" s="1"/>
  <c r="AD5" i="3" s="1"/>
  <c r="AE5" i="3" s="1"/>
  <c r="AI5" i="3" s="1"/>
  <c r="AM5" i="3" s="1"/>
  <c r="T7" i="3"/>
  <c r="V7" i="3" s="1"/>
  <c r="T41" i="3"/>
  <c r="V41" i="3" s="1"/>
  <c r="AD41" i="3" s="1"/>
  <c r="AE41" i="3" s="1"/>
  <c r="T45" i="3"/>
  <c r="V45" i="3" s="1"/>
  <c r="AD45" i="3" s="1"/>
  <c r="AE45" i="3" s="1"/>
  <c r="T26" i="3"/>
  <c r="V26" i="3" s="1"/>
  <c r="AD26" i="3" s="1"/>
  <c r="T22" i="3"/>
  <c r="V22" i="3" s="1"/>
  <c r="T18" i="3"/>
  <c r="V18" i="3" s="1"/>
  <c r="AD18" i="3" s="1"/>
  <c r="T4" i="3"/>
  <c r="V4" i="3" s="1"/>
  <c r="AD4" i="3" s="1"/>
  <c r="T8" i="3"/>
  <c r="V8" i="3" s="1"/>
  <c r="AD8" i="3" s="1"/>
  <c r="AE8" i="3" s="1"/>
  <c r="AI8" i="3" s="1"/>
  <c r="AM8" i="3" s="1"/>
  <c r="P14" i="3"/>
  <c r="T14" i="3" s="1"/>
  <c r="V14" i="3" s="1"/>
  <c r="AD14" i="3" s="1"/>
  <c r="T6" i="3"/>
  <c r="V6" i="3" s="1"/>
  <c r="AD6" i="3" s="1"/>
  <c r="AE6" i="3" s="1"/>
  <c r="AI6" i="3" s="1"/>
  <c r="AM6" i="3" s="1"/>
  <c r="T53" i="3"/>
  <c r="V53" i="3" s="1"/>
  <c r="AD53" i="3" s="1"/>
  <c r="AE53" i="3" s="1"/>
  <c r="AG53" i="3" s="1"/>
  <c r="AI53" i="3" s="1"/>
  <c r="AM53" i="3" s="1"/>
  <c r="T10" i="3"/>
  <c r="AD10" i="3" s="1"/>
  <c r="T33" i="3"/>
  <c r="V33" i="3" s="1"/>
  <c r="AD33" i="3" s="1"/>
  <c r="AE33" i="3" s="1"/>
  <c r="T29" i="3"/>
  <c r="V29" i="3" s="1"/>
  <c r="AD29" i="3" s="1"/>
  <c r="T25" i="3"/>
  <c r="V25" i="3" s="1"/>
  <c r="AD25" i="3" s="1"/>
  <c r="T21" i="3"/>
  <c r="V21" i="3" s="1"/>
  <c r="AD21" i="3" s="1"/>
  <c r="AE21" i="3" s="1"/>
  <c r="AG21" i="3" s="1"/>
  <c r="AI21" i="3" s="1"/>
  <c r="AM21" i="3" s="1"/>
  <c r="T17" i="3"/>
  <c r="V17" i="3" s="1"/>
  <c r="T13" i="3"/>
  <c r="V13" i="3" s="1"/>
  <c r="AD13" i="3" s="1"/>
  <c r="T46" i="3"/>
  <c r="V46" i="3" s="1"/>
  <c r="AD46" i="3" s="1"/>
  <c r="T40" i="3"/>
  <c r="V40" i="3" s="1"/>
  <c r="AD40" i="3" s="1"/>
  <c r="AE40" i="3" s="1"/>
  <c r="T52" i="3"/>
  <c r="V52" i="3" s="1"/>
  <c r="T48" i="3"/>
  <c r="V48" i="3" s="1"/>
  <c r="AD48" i="3" s="1"/>
  <c r="T44" i="3"/>
  <c r="V44" i="3" s="1"/>
  <c r="AD44" i="3" s="1"/>
  <c r="AE44" i="3" s="1"/>
  <c r="T50" i="3"/>
  <c r="V50" i="3" s="1"/>
  <c r="AD50" i="3" s="1"/>
  <c r="T38" i="3"/>
  <c r="V38" i="3" s="1"/>
  <c r="T19" i="3"/>
  <c r="V19" i="3" s="1"/>
  <c r="AD19" i="3" s="1"/>
  <c r="AE19" i="3" s="1"/>
  <c r="T15" i="3"/>
  <c r="V15" i="3" s="1"/>
  <c r="AD15" i="3" s="1"/>
  <c r="T24" i="3"/>
  <c r="V24" i="3" s="1"/>
  <c r="AD24" i="3" s="1"/>
  <c r="T39" i="3"/>
  <c r="V39" i="3" s="1"/>
  <c r="AD39" i="3" s="1"/>
  <c r="AE39" i="3" s="1"/>
  <c r="AD52" i="3"/>
  <c r="AE52" i="3" s="1"/>
  <c r="AG52" i="3" s="1"/>
  <c r="AI52" i="3" s="1"/>
  <c r="AM52" i="3" s="1"/>
  <c r="T51" i="3"/>
  <c r="V51" i="3" s="1"/>
  <c r="AD51" i="3" s="1"/>
  <c r="T23" i="3"/>
  <c r="V23" i="3" s="1"/>
  <c r="AD23" i="3" s="1"/>
  <c r="T28" i="3"/>
  <c r="V28" i="3" s="1"/>
  <c r="AD28" i="3" s="1"/>
  <c r="T43" i="3"/>
  <c r="V43" i="3" s="1"/>
  <c r="AD43" i="3" s="1"/>
  <c r="AE43" i="3" s="1"/>
  <c r="AD22" i="3"/>
  <c r="AD30" i="3"/>
  <c r="T36" i="3"/>
  <c r="V36" i="3" s="1"/>
  <c r="AD36" i="3" s="1"/>
  <c r="AE36" i="3" s="1"/>
  <c r="T11" i="3"/>
  <c r="V11" i="3" s="1"/>
  <c r="AD11" i="3" s="1"/>
  <c r="AE11" i="3" s="1"/>
  <c r="T27" i="3"/>
  <c r="V27" i="3" s="1"/>
  <c r="AD27" i="3" s="1"/>
  <c r="AE27" i="3" s="1"/>
  <c r="T32" i="3"/>
  <c r="V32" i="3" s="1"/>
  <c r="AD32" i="3" s="1"/>
  <c r="T34" i="3"/>
  <c r="V34" i="3" s="1"/>
  <c r="AD34" i="3" s="1"/>
  <c r="AE34" i="3" s="1"/>
  <c r="T42" i="3"/>
  <c r="V42" i="3" s="1"/>
  <c r="AD42" i="3" s="1"/>
  <c r="AE42" i="3" s="1"/>
  <c r="T47" i="3"/>
  <c r="V47" i="3" s="1"/>
  <c r="AD47" i="3" s="1"/>
  <c r="T49" i="3"/>
  <c r="V49" i="3" s="1"/>
  <c r="AD49" i="3" s="1"/>
  <c r="AE49" i="3" s="1"/>
  <c r="AD38" i="3"/>
  <c r="AE38" i="3" s="1"/>
  <c r="T20" i="3"/>
  <c r="V20" i="3" s="1"/>
  <c r="AD20" i="3" s="1"/>
  <c r="AE20" i="3" s="1"/>
  <c r="AD17" i="3"/>
  <c r="T16" i="3"/>
  <c r="V16" i="3" s="1"/>
  <c r="AD16" i="3" s="1"/>
  <c r="T12" i="3"/>
  <c r="V12" i="3" s="1"/>
  <c r="AD12" i="3" s="1"/>
  <c r="AD7" i="3"/>
  <c r="AE7" i="3" s="1"/>
  <c r="AG7" i="3" s="1"/>
  <c r="AI7" i="3" s="1"/>
  <c r="AM7" i="3" s="1"/>
  <c r="T9" i="3"/>
  <c r="V9" i="3" s="1"/>
  <c r="AD9" i="3" s="1"/>
  <c r="AE9" i="3" s="1"/>
  <c r="AE35" i="3" l="1"/>
  <c r="AG35" i="3" s="1"/>
  <c r="AI35" i="3" s="1"/>
  <c r="AM35" i="3" s="1"/>
  <c r="AG33" i="3"/>
  <c r="AI33" i="3" s="1"/>
  <c r="AM33" i="3" s="1"/>
  <c r="AG38" i="3"/>
  <c r="AI38" i="3" s="1"/>
  <c r="AM38" i="3" s="1"/>
  <c r="AE30" i="3"/>
  <c r="AG30" i="3" s="1"/>
  <c r="AI30" i="3" s="1"/>
  <c r="AM30" i="3" s="1"/>
  <c r="AE18" i="3"/>
  <c r="AG18" i="3" s="1"/>
  <c r="AI18" i="3" s="1"/>
  <c r="AM18" i="3" s="1"/>
  <c r="AG42" i="3"/>
  <c r="AI42" i="3" s="1"/>
  <c r="AM42" i="3" s="1"/>
  <c r="AE26" i="3"/>
  <c r="AG26" i="3" s="1"/>
  <c r="AI26" i="3" s="1"/>
  <c r="AM26" i="3" s="1"/>
  <c r="AE28" i="3"/>
  <c r="AG28" i="3" s="1"/>
  <c r="AI28" i="3" s="1"/>
  <c r="AM28" i="3" s="1"/>
  <c r="AE24" i="3"/>
  <c r="AG24" i="3" s="1"/>
  <c r="AI24" i="3" s="1"/>
  <c r="AM24" i="3" s="1"/>
  <c r="AG43" i="3"/>
  <c r="AI43" i="3" s="1"/>
  <c r="AM43" i="3" s="1"/>
  <c r="AE31" i="3"/>
  <c r="AG31" i="3" s="1"/>
  <c r="AI31" i="3" s="1"/>
  <c r="AM31" i="3" s="1"/>
  <c r="AG34" i="3"/>
  <c r="AI34" i="3" s="1"/>
  <c r="AM34" i="3" s="1"/>
  <c r="AG36" i="3"/>
  <c r="AI36" i="3" s="1"/>
  <c r="AM36" i="3" s="1"/>
  <c r="AG41" i="3"/>
  <c r="AI41" i="3" s="1"/>
  <c r="AM41" i="3" s="1"/>
  <c r="AE22" i="3"/>
  <c r="AG22" i="3" s="1"/>
  <c r="AI22" i="3" s="1"/>
  <c r="AM22" i="3" s="1"/>
  <c r="AE23" i="3"/>
  <c r="AG23" i="3" s="1"/>
  <c r="AI23" i="3" s="1"/>
  <c r="AM23" i="3" s="1"/>
  <c r="AE15" i="3"/>
  <c r="AG15" i="3" s="1"/>
  <c r="AI15" i="3" s="1"/>
  <c r="AM15" i="3" s="1"/>
  <c r="AE25" i="3"/>
  <c r="AG25" i="3" s="1"/>
  <c r="AI25" i="3" s="1"/>
  <c r="AM25" i="3" s="1"/>
  <c r="AE17" i="3"/>
  <c r="AG17" i="3" s="1"/>
  <c r="AI17" i="3" s="1"/>
  <c r="AM17" i="3" s="1"/>
  <c r="AE16" i="3"/>
  <c r="AG16" i="3" s="1"/>
  <c r="AI16" i="3" s="1"/>
  <c r="AM16" i="3" s="1"/>
  <c r="AE32" i="3"/>
  <c r="AG32" i="3" s="1"/>
  <c r="AI32" i="3" s="1"/>
  <c r="AM32" i="3" s="1"/>
  <c r="AG37" i="3"/>
  <c r="AI37" i="3" s="1"/>
  <c r="AM37" i="3" s="1"/>
  <c r="AE29" i="3"/>
  <c r="AG29" i="3" s="1"/>
  <c r="AI29" i="3" s="1"/>
  <c r="AM29" i="3" s="1"/>
  <c r="AE51" i="3"/>
  <c r="AG51" i="3" s="1"/>
  <c r="AI51" i="3" s="1"/>
  <c r="AM51" i="3" s="1"/>
  <c r="AE50" i="3"/>
  <c r="AG50" i="3" s="1"/>
  <c r="AI50" i="3" s="1"/>
  <c r="AM50" i="3" s="1"/>
  <c r="AE48" i="3"/>
  <c r="AG48" i="3" s="1"/>
  <c r="AI48" i="3" s="1"/>
  <c r="AM48" i="3" s="1"/>
  <c r="AE47" i="3"/>
  <c r="AG47" i="3" s="1"/>
  <c r="AE46" i="3"/>
  <c r="AG46" i="3" s="1"/>
  <c r="AI46" i="3" s="1"/>
  <c r="AM46" i="3" s="1"/>
  <c r="AG44" i="3"/>
  <c r="AI44" i="3" s="1"/>
  <c r="AM44" i="3" s="1"/>
  <c r="AG45" i="3"/>
  <c r="AI45" i="3" s="1"/>
  <c r="AM45" i="3" s="1"/>
  <c r="AE13" i="3"/>
  <c r="AG13" i="3" s="1"/>
  <c r="AI13" i="3" s="1"/>
  <c r="AM13" i="3" s="1"/>
  <c r="AE14" i="3"/>
  <c r="AG14" i="3" s="1"/>
  <c r="AI14" i="3" s="1"/>
  <c r="AM14" i="3" s="1"/>
  <c r="AE12" i="3"/>
  <c r="AG12" i="3" s="1"/>
  <c r="AI12" i="3" s="1"/>
  <c r="AM12" i="3" s="1"/>
  <c r="AE10" i="3"/>
  <c r="AG10" i="3" s="1"/>
  <c r="AI10" i="3" s="1"/>
  <c r="AM10" i="3" s="1"/>
  <c r="AG49" i="3"/>
  <c r="AI49" i="3" s="1"/>
  <c r="AM49" i="3" s="1"/>
  <c r="AG27" i="3"/>
  <c r="AI27" i="3" s="1"/>
  <c r="AM27" i="3" s="1"/>
  <c r="AG39" i="3"/>
  <c r="AI39" i="3" s="1"/>
  <c r="AM39" i="3" s="1"/>
  <c r="AG20" i="3"/>
  <c r="AI20" i="3" s="1"/>
  <c r="AG11" i="3"/>
  <c r="AG19" i="3"/>
  <c r="AI19" i="3" s="1"/>
  <c r="AM19" i="3" s="1"/>
  <c r="AG9" i="3"/>
  <c r="AI9" i="3" s="1"/>
  <c r="AM9" i="3" s="1"/>
  <c r="AG40" i="3" l="1"/>
  <c r="AI40" i="3" s="1"/>
  <c r="AM40" i="3" s="1"/>
  <c r="AI47" i="3"/>
  <c r="AM47" i="3" s="1"/>
  <c r="AI11" i="3"/>
  <c r="AM11" i="3" s="1"/>
  <c r="AM20" i="3"/>
</calcChain>
</file>

<file path=xl/sharedStrings.xml><?xml version="1.0" encoding="utf-8"?>
<sst xmlns="http://schemas.openxmlformats.org/spreadsheetml/2006/main" count="506" uniqueCount="256">
  <si>
    <t>Surcharge</t>
  </si>
  <si>
    <t>Education Cess</t>
  </si>
  <si>
    <t>Interest</t>
  </si>
  <si>
    <t>Last Total Tax Deposited</t>
  </si>
  <si>
    <t>Last BSR Code</t>
  </si>
  <si>
    <t>Last Surcharge</t>
  </si>
  <si>
    <t>Last Education Cess</t>
  </si>
  <si>
    <t>Interest (Corresponding  to Regular Return.)</t>
  </si>
  <si>
    <t>Other (Corresponding to Regular Statement.)</t>
  </si>
  <si>
    <t>Pending Amount/ Balance</t>
  </si>
  <si>
    <t>Pan Counter</t>
  </si>
  <si>
    <t>PAN of Employee</t>
  </si>
  <si>
    <t>Name of the Employee</t>
  </si>
  <si>
    <t>Employee Designation</t>
  </si>
  <si>
    <t>Details of 80CCE</t>
  </si>
  <si>
    <t>Other Chap VIA Details</t>
  </si>
  <si>
    <t>Select
W - Woman,
S - Senior Citizen 
&amp; G - Others</t>
  </si>
  <si>
    <t xml:space="preserve"> PAN Ref.
Number </t>
  </si>
  <si>
    <t>Salary as per provisions contained in section 17(1)</t>
  </si>
  <si>
    <t>(A)</t>
  </si>
  <si>
    <t>(B)</t>
  </si>
  <si>
    <t>(C)</t>
  </si>
  <si>
    <t>Value of perquisites under section 17(2) as per Form No. 12BA, wherever</t>
  </si>
  <si>
    <t>-</t>
  </si>
  <si>
    <t>Fees u/s 234E</t>
  </si>
  <si>
    <t>Penalty / Others</t>
  </si>
  <si>
    <t>Mode of deposit through Challan (C) Book Adjustment (B)</t>
  </si>
  <si>
    <t>Bank-Branch Code/ Form 24G Receipt Number</t>
  </si>
  <si>
    <t>Challan Serial No./DDO Serial no. of Form No.24G</t>
  </si>
  <si>
    <t>Last Date on which tax deposited</t>
  </si>
  <si>
    <t>Minor Head of Challan</t>
  </si>
  <si>
    <t>Section Code</t>
  </si>
  <si>
    <t>Deductee Record No</t>
  </si>
  <si>
    <t>Employment Period with Current Employer during FY</t>
  </si>
  <si>
    <t>Current Employer Gross Salary   (Only for autofilling Form 16 from 24Q, Not required for e-TDS )</t>
  </si>
  <si>
    <t>Profit in liue of salery under section 17(3) as per Form No. 12BA, wherever</t>
  </si>
  <si>
    <t>Taxable Amount on which tax is deducted by the current employer</t>
  </si>
  <si>
    <t>Taxable Amount on which tax is deducted by previous employer(s)</t>
  </si>
  <si>
    <t>Total amount of salary (See Note 1) ( 335+336)</t>
  </si>
  <si>
    <t>Total deduction under section 16(ii)</t>
  </si>
  <si>
    <t>Total deduction under section 16(iii)</t>
  </si>
  <si>
    <t>Total deductions u/s 16(ii) &amp; 16(iii)</t>
  </si>
  <si>
    <t>Income (including admissible loss from house property) under any head other than the head "Salaries" offered for TDS [sec192(2B</t>
  </si>
  <si>
    <t>Last Gross Total Income (Used for verification)</t>
  </si>
  <si>
    <t>Total amount deductible under Chapter VI-A (Total of columns 343 and 344)</t>
  </si>
  <si>
    <t>Total taxable income (Column 342 minus 345)</t>
  </si>
  <si>
    <t>Education cess</t>
  </si>
  <si>
    <t>Income-tax relief under section 89, when salary, etc. is paid in arrear or advance</t>
  </si>
  <si>
    <t>Net tax payable (347 + 348 + 349 - 350)</t>
  </si>
  <si>
    <t>Total amount of tax deducted at source by the current employer for the whole year.</t>
  </si>
  <si>
    <t>Reported amount of tax deducted at source by previous employer(s)/deductor(s)</t>
  </si>
  <si>
    <t>Total amount of tax deducted at source for the whole year (Total of columns 352 and 353)</t>
  </si>
  <si>
    <t>Shortfall in tax deduction (+)/Excess tax deduction (-) [Column 351 - 354]</t>
  </si>
  <si>
    <t>Whether tax deducted at higher rate due to non furnishing of PAN by deductee</t>
  </si>
  <si>
    <t>Salary Details Record No.</t>
  </si>
  <si>
    <t>PAN Flag</t>
  </si>
  <si>
    <t>Total tax Deposited</t>
  </si>
  <si>
    <t>TDS</t>
  </si>
  <si>
    <t>Total Tax Deposited</t>
  </si>
  <si>
    <t>Pan Flag</t>
  </si>
  <si>
    <t>Last Total Tax Deposited (Rs)</t>
  </si>
  <si>
    <t>Challan Seq. No. (As In Table Above)</t>
  </si>
  <si>
    <t>Employee Reference Number Provided By Employer, If Available</t>
  </si>
  <si>
    <t>Last Pan Of Employee</t>
  </si>
  <si>
    <t xml:space="preserve">Last Pan Ref. No. </t>
  </si>
  <si>
    <t>Pan Ref. No. (For E-Tds Only)</t>
  </si>
  <si>
    <t>Name Of The Employee</t>
  </si>
  <si>
    <t>Amount Paid Or Credited</t>
  </si>
  <si>
    <t>Last Total Tax Deducted  Rs.</t>
  </si>
  <si>
    <t>Reason For Nondeduction/ Lower Deduction /Higher Deduction</t>
  </si>
  <si>
    <t>Last Tds</t>
  </si>
  <si>
    <t>Total TDS (Total Of  Columns 322,323 And 324)</t>
  </si>
  <si>
    <t>Number Of The Certificate U/S 197 Issued By The Assessing Officer For Nondeduction/Lower Deduction</t>
  </si>
  <si>
    <t>Date on which amount deposited through challan/Date of transfer voucher (DD/MM/YYYY)</t>
  </si>
  <si>
    <t>Date Of Payment (DD/MM/YYYY)</t>
  </si>
  <si>
    <t>Date Of Deduction (DD/MM/YYYY)</t>
  </si>
  <si>
    <t>Date Of Deposit (DD/MM/YYYY)</t>
  </si>
  <si>
    <t>DateFrom
(DD/MM/YYYY)</t>
  </si>
  <si>
    <t>DateTo
(DD/MM/YYYY)</t>
  </si>
  <si>
    <t>(V.14.0.0) Updation Mode For Deductee. (Only For Revised Return)</t>
  </si>
  <si>
    <t>(V.14.0.0) Mode (Only for Revised Return)</t>
  </si>
  <si>
    <t>(V.14.0.0) Updation Mode For Challan (Only for Revised Return)</t>
  </si>
  <si>
    <t>PAN Of Employee</t>
  </si>
  <si>
    <t>Gross Total Income (Total of 340 + 341)</t>
  </si>
  <si>
    <t>343</t>
  </si>
  <si>
    <t>80CCG</t>
  </si>
  <si>
    <t>Amount deductible under any other provision(s) of Chapter VI-A</t>
  </si>
  <si>
    <t>344</t>
  </si>
  <si>
    <t>(To be provided in S/w)</t>
  </si>
  <si>
    <t>PAN 
Counter</t>
  </si>
  <si>
    <t>334</t>
  </si>
  <si>
    <t>Less: Allowance to the extent exempt under section 10 
(D)</t>
  </si>
  <si>
    <t>Income chargeable under the head 
"Salaries" 
(337 - (338 + 339))</t>
  </si>
  <si>
    <t>Rebate u/s 87A</t>
  </si>
  <si>
    <t>Income tax on total income (After Rebate u/s 87A)</t>
  </si>
  <si>
    <t>Aggregate amount of deductions admissible u/s 80C, 80CCC,and 80CCD (1)(Total to be limited to amount specified u/s 80CCE)</t>
  </si>
  <si>
    <t xml:space="preserve"> </t>
  </si>
  <si>
    <t>Whether house rent allowance claim (aggregate payment) exceeds rupees one lakh during previous year</t>
  </si>
  <si>
    <t>Count of PAN of the landlord</t>
  </si>
  <si>
    <t>PAN of Landlord 1</t>
  </si>
  <si>
    <t>Name of Landlord 1</t>
  </si>
  <si>
    <t>PAN of Landlord 2</t>
  </si>
  <si>
    <t>Name of Landlord 2</t>
  </si>
  <si>
    <t>PAN of Landlord 3</t>
  </si>
  <si>
    <t>Name of Landlord 3</t>
  </si>
  <si>
    <t>PAN of Landlord 4</t>
  </si>
  <si>
    <t>Name of Landlord 4</t>
  </si>
  <si>
    <t>Whether Interest paid to the lender under the head 'Income from house property'</t>
  </si>
  <si>
    <t>Count of PAN of the lender</t>
  </si>
  <si>
    <t>In case of deduction of Interest under the head income from House Property - PAN of Lender 1</t>
  </si>
  <si>
    <t>In case of deduction of interest under the head income from House Property - Name of Lender 1</t>
  </si>
  <si>
    <t>In case of deduction of Interest under the head income from House Property - PAN of Lender 2</t>
  </si>
  <si>
    <t>In case of deduction of interest under the head income from House Property - Name of Lender 2</t>
  </si>
  <si>
    <t>In case of deduction of Interest under the head income from House Property - PAN of Lender 3</t>
  </si>
  <si>
    <t>In case of deduction of interest under the head income from House Property - Name of Lender 3</t>
  </si>
  <si>
    <t>In case of deduction of Interest under the head income from House Property - PAN of Lender 4</t>
  </si>
  <si>
    <t>In case of deduction of interest under the head income from House Property - Name of Lender 4</t>
  </si>
  <si>
    <t>Whether contributions paid by the trustees of an Approved Superannuation Fund</t>
  </si>
  <si>
    <t>Name of the superannuation fund</t>
  </si>
  <si>
    <t>Date from which the Employee has contributed to the Superannuation Fund</t>
  </si>
  <si>
    <t>Date to which the Employee has contributed to the Superannuation Fund</t>
  </si>
  <si>
    <t>The amount of contribution repaid on account of principal and interest from Superannuation Fund</t>
  </si>
  <si>
    <t>The Average Rate of Deduction of Tax during the Preceding Three Years</t>
  </si>
  <si>
    <t>The Amount of Tax Deducted on Repayment of Superannuation Fund</t>
  </si>
  <si>
    <t>Gross Total Income including Contribution repaid on Account of Principal and interest from Superannuation Fund</t>
  </si>
  <si>
    <t>Conso Flag</t>
  </si>
  <si>
    <t>AFOPK3411N</t>
  </si>
  <si>
    <t>ABBPH0348A</t>
  </si>
  <si>
    <t>AFDPC0745A</t>
  </si>
  <si>
    <t>AFDPR8338C</t>
  </si>
  <si>
    <t>AUBPS4552J</t>
  </si>
  <si>
    <t>AIJPA3595M</t>
  </si>
  <si>
    <t>CSDPS8113D</t>
  </si>
  <si>
    <t>ABJPG0168K</t>
  </si>
  <si>
    <t>ARXPS0580P</t>
  </si>
  <si>
    <t>ADVPC0620N</t>
  </si>
  <si>
    <t>AOTPM3070R</t>
  </si>
  <si>
    <t>ADEPS5606H</t>
  </si>
  <si>
    <t>AIYPK0135C</t>
  </si>
  <si>
    <t>AHCPC3964E</t>
  </si>
  <si>
    <t>AKMPC4328B</t>
  </si>
  <si>
    <t>CXOPS6615L</t>
  </si>
  <si>
    <t>AACPW3449D</t>
  </si>
  <si>
    <t>AFJPD0296H</t>
  </si>
  <si>
    <t>AVWPA7593H</t>
  </si>
  <si>
    <t>AXDPM1328F</t>
  </si>
  <si>
    <t>ALNPM7506M</t>
  </si>
  <si>
    <t>AAVPD7923N</t>
  </si>
  <si>
    <t>AFGPB5348M</t>
  </si>
  <si>
    <t>AIBPR6588B</t>
  </si>
  <si>
    <t>BIZPK0006J</t>
  </si>
  <si>
    <t>BCYPB4931N</t>
  </si>
  <si>
    <t>AHQPH3315N</t>
  </si>
  <si>
    <t>AKXPD1541Q</t>
  </si>
  <si>
    <t>AUKPB9301M</t>
  </si>
  <si>
    <t>ABEPE7545H</t>
  </si>
  <si>
    <t>AGMPL8218K</t>
  </si>
  <si>
    <t>AVYPD3347E</t>
  </si>
  <si>
    <t>DPQPS9191C</t>
  </si>
  <si>
    <t>AKYPT6021E</t>
  </si>
  <si>
    <t>AXNPA0205F</t>
  </si>
  <si>
    <t>ARNPG2126K</t>
  </si>
  <si>
    <t>BZLPB4251M</t>
  </si>
  <si>
    <t>AAGPO8170P</t>
  </si>
  <si>
    <t>DVFPS1983F</t>
  </si>
  <si>
    <t>DBFPS8917D</t>
  </si>
  <si>
    <t>CUNPK9195F</t>
  </si>
  <si>
    <t>AQFPD4035K</t>
  </si>
  <si>
    <t>AFPPD7242B</t>
  </si>
  <si>
    <t>AMIPG2664G</t>
  </si>
  <si>
    <t>AMMPG6451D</t>
  </si>
  <si>
    <t>ACVPS9077Q</t>
  </si>
  <si>
    <t>ASLPG5546L</t>
  </si>
  <si>
    <t>AHJPD2621C</t>
  </si>
  <si>
    <t>BALPJ9445G</t>
  </si>
  <si>
    <t>ACRPT9301J</t>
  </si>
  <si>
    <t>Mahendra Shankarao Katenge</t>
  </si>
  <si>
    <t>Subhadra Balkrishna Harpale</t>
  </si>
  <si>
    <t>Bhatusing Eknath Chavan</t>
  </si>
  <si>
    <t>Kedar Anandrao Relekar</t>
  </si>
  <si>
    <t>Smita Sanjay Sankpal</t>
  </si>
  <si>
    <t>Surekha Shripad Agey</t>
  </si>
  <si>
    <t>Rani Suresh Shejul</t>
  </si>
  <si>
    <t>Sanjaykumar Shankarrao Gedam</t>
  </si>
  <si>
    <t>Manojkumar Babanrao Somvanshi</t>
  </si>
  <si>
    <t>Vishwanath Vitthalrao Chintalwad</t>
  </si>
  <si>
    <t>Sagar Venkatesh Masekar</t>
  </si>
  <si>
    <t>Narayn Khandu Saste</t>
  </si>
  <si>
    <t>Kashinath Dhondiba Kachare</t>
  </si>
  <si>
    <t>Sagar Babasaheb Chirke</t>
  </si>
  <si>
    <t>Yogesh Domaji Chafale</t>
  </si>
  <si>
    <t>Vikas Sudas Sarje</t>
  </si>
  <si>
    <t>Jayshree Mohan Wanzare</t>
  </si>
  <si>
    <t>Satyawan Murlidhar Dalvi</t>
  </si>
  <si>
    <t>Somnath Annappa Allimore</t>
  </si>
  <si>
    <t>Sitaram Dhondiba Masal</t>
  </si>
  <si>
    <t>Sanjay Sopanrao Malshikare</t>
  </si>
  <si>
    <t>Aditi Achyut Dandavate</t>
  </si>
  <si>
    <t>Sanjay Narsing Bhore</t>
  </si>
  <si>
    <t>Sardar Baliram Rathod</t>
  </si>
  <si>
    <t>Arun Laxman Kamble</t>
  </si>
  <si>
    <t>Devkinandan Ramdatt Bhatt</t>
  </si>
  <si>
    <t>Manoj Suresh Harpale</t>
  </si>
  <si>
    <t>Prashant Ramkrishna Datere</t>
  </si>
  <si>
    <t>Amol Suresh Bakale</t>
  </si>
  <si>
    <t>Bharat Martand Erande</t>
  </si>
  <si>
    <t>Dipali Ram Late</t>
  </si>
  <si>
    <t>Swapnali Mahesh Bhosale</t>
  </si>
  <si>
    <t>Nitin Bharat Shinde</t>
  </si>
  <si>
    <t>Sweta Sandip Chitalkar</t>
  </si>
  <si>
    <t>Dhruv Nitin Apte</t>
  </si>
  <si>
    <t>Vishal Balu Gaikwad</t>
  </si>
  <si>
    <t>Rahul Dilip Babar</t>
  </si>
  <si>
    <t>Bhagwan Phandrinath Ohol</t>
  </si>
  <si>
    <t>Kashinath Manaji Shelkande</t>
  </si>
  <si>
    <t>Maya Baliram Sonkamble</t>
  </si>
  <si>
    <t>Hemant Harising Karote</t>
  </si>
  <si>
    <t>Sukhada Yogiraj Panse</t>
  </si>
  <si>
    <t>Vijaya Sidhalinga Sankh</t>
  </si>
  <si>
    <t>Nisha Nitin Agrawal</t>
  </si>
  <si>
    <t>Amit Ashok Gaikwad</t>
  </si>
  <si>
    <t>Baburao Mahadeo Singnath</t>
  </si>
  <si>
    <t>Dipak Ramesh Gaikwad</t>
  </si>
  <si>
    <t>Babasaheb Bhaskar Deshmukh</t>
  </si>
  <si>
    <t>Rohini Pandurang Jadhav</t>
  </si>
  <si>
    <t>Tulasa Laxman Todase</t>
  </si>
  <si>
    <t>01/04/2017</t>
  </si>
  <si>
    <t>31/03/2018</t>
  </si>
  <si>
    <t>No</t>
  </si>
  <si>
    <t>Peon_S</t>
  </si>
  <si>
    <t>W</t>
  </si>
  <si>
    <t>Tracer_S</t>
  </si>
  <si>
    <t>G</t>
  </si>
  <si>
    <t>Head Clerk</t>
  </si>
  <si>
    <t>Dy.Executive Engineer</t>
  </si>
  <si>
    <t>Upper Division Clerk(F&amp;A)</t>
  </si>
  <si>
    <t>Technician Gr.I</t>
  </si>
  <si>
    <t>Technician Gr.III</t>
  </si>
  <si>
    <t>Technician Gr.IV</t>
  </si>
  <si>
    <t>Addl Exe.Engineer(Trans)</t>
  </si>
  <si>
    <t>Typist_S</t>
  </si>
  <si>
    <t>Upper Division Clerk(HR)</t>
  </si>
  <si>
    <t>Addl Executive Engineer(T</t>
  </si>
  <si>
    <t>Dy.Executive Engineer(Tra</t>
  </si>
  <si>
    <t>Vehicle Driver_S</t>
  </si>
  <si>
    <t>Asstt.Acctt./Auditor</t>
  </si>
  <si>
    <t>Manager (F&amp;A)</t>
  </si>
  <si>
    <t>Surveyor Gr.II</t>
  </si>
  <si>
    <t>Lower Division Clerk(F&amp;A)</t>
  </si>
  <si>
    <t>Lower Division Clerk(HR)</t>
  </si>
  <si>
    <t>Assistant Engineer(Trans)</t>
  </si>
  <si>
    <t>Assistant Engineer(Civil)</t>
  </si>
  <si>
    <t>Dy.Executive Engineer(Civ</t>
  </si>
  <si>
    <t>Vehicle Cleaner_S</t>
  </si>
  <si>
    <t>Executive Engineer</t>
  </si>
  <si>
    <t>Dy Executive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</si>
</sst>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[Red]\(0\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43" fontId="6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2">
    <xf numFmtId="0" fontId="0" fillId="0" borderId="0" xfId="0"/>
    <xf numFmtId="49" fontId="0" fillId="2" borderId="1" xfId="0" applyNumberFormat="1" applyFill="1" applyBorder="1" applyAlignment="1">
      <alignment horizontal="center"/>
    </xf>
    <xf numFmtId="0" fontId="0" fillId="0" borderId="0" xfId="0" applyProtection="1"/>
    <xf numFmtId="49" fontId="0" fillId="0" borderId="0" xfId="0" applyNumberFormat="1" applyProtection="1"/>
    <xf numFmtId="0" fontId="3" fillId="0" borderId="0" xfId="0" applyFont="1" applyProtection="1"/>
    <xf numFmtId="49" fontId="3" fillId="0" borderId="0" xfId="0" applyNumberFormat="1" applyFont="1" applyProtection="1"/>
    <xf numFmtId="49" fontId="0" fillId="0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49" fontId="2" fillId="2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0" fillId="0" borderId="0" xfId="0" applyNumberFormat="1" applyFill="1" applyBorder="1" applyAlignment="1" applyProtection="1">
      <alignment horizontal="left" vertical="top"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Protection="1">
      <protection locked="0"/>
    </xf>
    <xf numFmtId="49" fontId="3" fillId="0" borderId="0" xfId="0" applyNumberFormat="1" applyFont="1" applyFill="1" applyBorder="1" applyAlignment="1" applyProtection="1">
      <alignment horizontal="left" vertical="top" wrapText="1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49" fontId="0" fillId="0" borderId="0" xfId="0" applyNumberFormat="1" applyAlignment="1" applyProtection="1">
      <alignment horizontal="right"/>
      <protection locked="0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2" fontId="4" fillId="2" borderId="6" xfId="0" applyNumberFormat="1" applyFont="1" applyFill="1" applyBorder="1" applyAlignment="1" applyProtection="1">
      <alignment horizontal="center" vertical="center" wrapText="1"/>
    </xf>
    <xf numFmtId="49" fontId="4" fillId="2" borderId="6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 applyAlignment="1" applyProtection="1">
      <alignment horizontal="center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</xf>
    <xf numFmtId="164" fontId="4" fillId="2" borderId="6" xfId="0" applyNumberFormat="1" applyFont="1" applyFill="1" applyBorder="1" applyAlignment="1" applyProtection="1">
      <alignment horizontal="center" vertical="center" wrapText="1"/>
    </xf>
    <xf numFmtId="2" fontId="2" fillId="2" borderId="6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ill="1" applyProtection="1">
      <protection locked="0"/>
    </xf>
    <xf numFmtId="2" fontId="0" fillId="0" borderId="0" xfId="0" applyNumberFormat="1" applyFill="1" applyAlignment="1" applyProtection="1">
      <alignment horizontal="right"/>
      <protection locked="0"/>
    </xf>
    <xf numFmtId="49" fontId="2" fillId="2" borderId="7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49" fontId="2" fillId="5" borderId="1" xfId="0" applyNumberFormat="1" applyFont="1" applyFill="1" applyBorder="1" applyAlignment="1" applyProtection="1">
      <alignment horizontal="center" vertical="center"/>
    </xf>
    <xf numFmtId="49" fontId="2" fillId="5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Protection="1">
      <protection locked="0"/>
    </xf>
    <xf numFmtId="49" fontId="4" fillId="5" borderId="1" xfId="0" applyNumberFormat="1" applyFont="1" applyFill="1" applyBorder="1" applyAlignment="1" applyProtection="1">
      <alignment horizontal="center" vertical="center"/>
    </xf>
    <xf numFmtId="49" fontId="4" fillId="5" borderId="6" xfId="0" applyNumberFormat="1" applyFont="1" applyFill="1" applyBorder="1" applyAlignment="1" applyProtection="1">
      <alignment horizontal="center" vertical="center" wrapText="1"/>
    </xf>
    <xf numFmtId="49" fontId="4" fillId="5" borderId="1" xfId="0" applyNumberFormat="1" applyFont="1" applyFill="1" applyBorder="1" applyAlignment="1" applyProtection="1">
      <alignment horizontal="center"/>
    </xf>
    <xf numFmtId="49" fontId="4" fillId="5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4" xfId="0" applyNumberFormat="1" applyFon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  <protection locked="0"/>
    </xf>
    <xf numFmtId="49" fontId="4" fillId="5" borderId="4" xfId="0" applyNumberFormat="1" applyFont="1" applyFill="1" applyBorder="1" applyAlignment="1">
      <alignment horizontal="center"/>
    </xf>
    <xf numFmtId="2" fontId="4" fillId="5" borderId="6" xfId="0" applyNumberFormat="1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 applyProtection="1">
      <alignment horizontal="center" vertical="center" wrapText="1"/>
    </xf>
    <xf numFmtId="1" fontId="2" fillId="5" borderId="4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2" fontId="4" fillId="5" borderId="3" xfId="0" applyNumberFormat="1" applyFont="1" applyFill="1" applyBorder="1" applyAlignment="1" applyProtection="1">
      <alignment horizontal="center" vertical="center" wrapText="1"/>
    </xf>
    <xf numFmtId="49" fontId="4" fillId="2" borderId="4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2" fontId="2" fillId="2" borderId="8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right"/>
      <protection locked="0"/>
    </xf>
    <xf numFmtId="2" fontId="2" fillId="0" borderId="0" xfId="0" applyNumberFormat="1" applyFont="1" applyFill="1" applyAlignment="1" applyProtection="1">
      <alignment horizontal="right"/>
      <protection locked="0"/>
    </xf>
    <xf numFmtId="2" fontId="2" fillId="0" borderId="0" xfId="0" applyNumberFormat="1" applyFont="1" applyFill="1" applyAlignment="1" applyProtection="1">
      <alignment horizontal="right" wrapText="1"/>
      <protection locked="0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Protection="1">
      <protection locked="0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Protection="1">
      <protection locked="0"/>
    </xf>
    <xf numFmtId="0" fontId="0" fillId="0" borderId="0" xfId="0" applyFill="1"/>
    <xf numFmtId="0" fontId="3" fillId="0" borderId="0" xfId="0" applyFont="1" applyFill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horizontal="right"/>
      <protection locked="0"/>
    </xf>
    <xf numFmtId="2" fontId="0" fillId="0" borderId="0" xfId="0" applyNumberFormat="1" applyBorder="1" applyAlignment="1" applyProtection="1">
      <alignment horizontal="right"/>
      <protection locked="0"/>
    </xf>
    <xf numFmtId="2" fontId="2" fillId="0" borderId="0" xfId="0" applyNumberFormat="1" applyFont="1" applyBorder="1" applyAlignment="1" applyProtection="1">
      <alignment horizontal="right"/>
      <protection locked="0"/>
    </xf>
    <xf numFmtId="2" fontId="2" fillId="0" borderId="0" xfId="0" applyNumberFormat="1" applyFont="1" applyFill="1" applyBorder="1" applyAlignment="1" applyProtection="1">
      <alignment horizontal="right"/>
      <protection locked="0"/>
    </xf>
    <xf numFmtId="2" fontId="2" fillId="0" borderId="0" xfId="0" applyNumberFormat="1" applyFont="1" applyFill="1" applyBorder="1" applyAlignment="1" applyProtection="1">
      <alignment horizontal="right" wrapText="1"/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 applyProtection="1">
      <alignment horizontal="right"/>
    </xf>
    <xf numFmtId="49" fontId="2" fillId="2" borderId="5" xfId="0" applyNumberFormat="1" applyFont="1" applyFill="1" applyBorder="1" applyAlignment="1">
      <alignment horizontal="center" vertical="top"/>
    </xf>
    <xf numFmtId="2" fontId="2" fillId="0" borderId="0" xfId="0" applyNumberFormat="1" applyFont="1" applyBorder="1" applyAlignment="1" applyProtection="1">
      <alignment horizontal="right"/>
    </xf>
    <xf numFmtId="2" fontId="2" fillId="0" borderId="0" xfId="0" applyNumberFormat="1" applyFont="1" applyFill="1" applyBorder="1" applyAlignment="1" applyProtection="1">
      <alignment horizontal="right"/>
    </xf>
    <xf numFmtId="2" fontId="0" fillId="0" borderId="0" xfId="0" applyNumberFormat="1" applyFill="1" applyBorder="1" applyAlignment="1" applyProtection="1">
      <alignment horizontal="right"/>
    </xf>
    <xf numFmtId="43" fontId="0" fillId="0" borderId="0" xfId="3" applyFont="1"/>
    <xf numFmtId="49" fontId="2" fillId="0" borderId="0" xfId="0" applyNumberFormat="1" applyFont="1" applyBorder="1" applyProtection="1">
      <protection locked="0"/>
    </xf>
    <xf numFmtId="49" fontId="0" fillId="7" borderId="0" xfId="0" applyNumberFormat="1" applyFill="1" applyBorder="1" applyProtection="1"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</xf>
    <xf numFmtId="2" fontId="2" fillId="7" borderId="0" xfId="0" applyNumberFormat="1" applyFont="1" applyFill="1" applyBorder="1" applyAlignment="1" applyProtection="1">
      <alignment horizontal="right"/>
    </xf>
    <xf numFmtId="2" fontId="2" fillId="7" borderId="0" xfId="0" applyNumberFormat="1" applyFont="1" applyFill="1" applyBorder="1" applyAlignment="1" applyProtection="1">
      <alignment horizontal="right" wrapText="1"/>
      <protection locked="0"/>
    </xf>
    <xf numFmtId="2" fontId="2" fillId="7" borderId="0" xfId="0" applyNumberFormat="1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Protection="1">
      <protection locked="0"/>
    </xf>
    <xf numFmtId="0" fontId="0" fillId="7" borderId="0" xfId="0" applyFill="1" applyBorder="1" applyProtection="1">
      <protection locked="0"/>
    </xf>
    <xf numFmtId="49" fontId="0" fillId="8" borderId="0" xfId="0" applyNumberFormat="1" applyFill="1" applyBorder="1" applyProtection="1">
      <protection locked="0"/>
    </xf>
    <xf numFmtId="0" fontId="0" fillId="8" borderId="0" xfId="0" applyFill="1" applyBorder="1" applyAlignment="1">
      <alignment horizontal="center"/>
    </xf>
    <xf numFmtId="0" fontId="0" fillId="8" borderId="0" xfId="0" applyFill="1" applyBorder="1"/>
    <xf numFmtId="49" fontId="2" fillId="8" borderId="0" xfId="0" applyNumberFormat="1" applyFont="1" applyFill="1" applyBorder="1" applyProtection="1">
      <protection locked="0"/>
    </xf>
    <xf numFmtId="49" fontId="0" fillId="8" borderId="0" xfId="0" applyNumberFormat="1" applyFill="1" applyBorder="1" applyAlignment="1" applyProtection="1">
      <alignment horizontal="right"/>
      <protection locked="0"/>
    </xf>
    <xf numFmtId="2" fontId="0" fillId="8" borderId="0" xfId="0" applyNumberFormat="1" applyFill="1" applyBorder="1" applyAlignment="1" applyProtection="1">
      <alignment horizontal="right"/>
      <protection locked="0"/>
    </xf>
    <xf numFmtId="2" fontId="0" fillId="8" borderId="0" xfId="0" applyNumberFormat="1" applyFill="1" applyBorder="1" applyAlignment="1" applyProtection="1">
      <alignment horizontal="right"/>
    </xf>
    <xf numFmtId="2" fontId="2" fillId="8" borderId="0" xfId="0" applyNumberFormat="1" applyFont="1" applyFill="1" applyBorder="1" applyAlignment="1" applyProtection="1">
      <alignment horizontal="right"/>
    </xf>
    <xf numFmtId="43" fontId="0" fillId="8" borderId="0" xfId="3" applyFont="1" applyFill="1"/>
    <xf numFmtId="2" fontId="2" fillId="8" borderId="0" xfId="0" applyNumberFormat="1" applyFont="1" applyFill="1" applyBorder="1" applyAlignment="1" applyProtection="1">
      <alignment horizontal="right" wrapText="1"/>
      <protection locked="0"/>
    </xf>
    <xf numFmtId="2" fontId="2" fillId="8" borderId="0" xfId="0" applyNumberFormat="1" applyFont="1" applyFill="1" applyBorder="1" applyAlignment="1" applyProtection="1">
      <alignment horizontal="right"/>
      <protection locked="0"/>
    </xf>
    <xf numFmtId="4" fontId="0" fillId="8" borderId="0" xfId="0" applyNumberFormat="1" applyFill="1" applyBorder="1"/>
    <xf numFmtId="2" fontId="0" fillId="8" borderId="0" xfId="0" applyNumberFormat="1" applyFill="1" applyBorder="1" applyProtection="1">
      <protection locked="0"/>
    </xf>
    <xf numFmtId="0" fontId="0" fillId="8" borderId="0" xfId="0" applyFill="1" applyBorder="1" applyProtection="1">
      <protection locked="0"/>
    </xf>
    <xf numFmtId="0" fontId="8" fillId="7" borderId="0" xfId="0" applyFont="1" applyFill="1" applyBorder="1" applyAlignment="1">
      <alignment horizontal="center"/>
    </xf>
    <xf numFmtId="49" fontId="0" fillId="9" borderId="0" xfId="0" applyNumberFormat="1" applyFill="1" applyBorder="1" applyProtection="1">
      <protection locked="0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49" fontId="0" fillId="9" borderId="0" xfId="0" applyNumberFormat="1" applyFill="1" applyBorder="1" applyAlignment="1" applyProtection="1">
      <alignment horizontal="right"/>
      <protection locked="0"/>
    </xf>
    <xf numFmtId="2" fontId="0" fillId="9" borderId="0" xfId="0" applyNumberFormat="1" applyFill="1" applyBorder="1" applyAlignment="1" applyProtection="1">
      <alignment horizontal="right"/>
      <protection locked="0"/>
    </xf>
    <xf numFmtId="2" fontId="0" fillId="9" borderId="0" xfId="0" applyNumberFormat="1" applyFill="1" applyBorder="1" applyAlignment="1" applyProtection="1">
      <alignment horizontal="right"/>
    </xf>
    <xf numFmtId="2" fontId="2" fillId="9" borderId="0" xfId="0" applyNumberFormat="1" applyFont="1" applyFill="1" applyBorder="1" applyAlignment="1" applyProtection="1">
      <alignment horizontal="right"/>
    </xf>
    <xf numFmtId="43" fontId="0" fillId="9" borderId="0" xfId="3" applyFont="1" applyFill="1"/>
    <xf numFmtId="2" fontId="2" fillId="9" borderId="0" xfId="0" applyNumberFormat="1" applyFont="1" applyFill="1" applyBorder="1" applyAlignment="1" applyProtection="1">
      <alignment horizontal="right" wrapText="1"/>
      <protection locked="0"/>
    </xf>
    <xf numFmtId="2" fontId="2" fillId="9" borderId="0" xfId="0" applyNumberFormat="1" applyFont="1" applyFill="1" applyBorder="1" applyAlignment="1" applyProtection="1">
      <alignment horizontal="right"/>
      <protection locked="0"/>
    </xf>
    <xf numFmtId="2" fontId="0" fillId="9" borderId="0" xfId="0" applyNumberFormat="1" applyFill="1" applyBorder="1" applyProtection="1">
      <protection locked="0"/>
    </xf>
    <xf numFmtId="0" fontId="0" fillId="9" borderId="0" xfId="0" applyFill="1" applyBorder="1" applyProtection="1">
      <protection locked="0"/>
    </xf>
    <xf numFmtId="10" fontId="0" fillId="0" borderId="0" xfId="4" applyNumberFormat="1" applyFont="1"/>
    <xf numFmtId="43" fontId="0" fillId="7" borderId="0" xfId="3" applyFont="1" applyFill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horizontal="center" vertical="center" wrapText="1"/>
    </xf>
    <xf numFmtId="2" fontId="4" fillId="6" borderId="7" xfId="0" applyNumberFormat="1" applyFont="1" applyFill="1" applyBorder="1" applyAlignment="1">
      <alignment horizontal="center" vertical="center" wrapText="1"/>
    </xf>
    <xf numFmtId="2" fontId="2" fillId="6" borderId="5" xfId="0" applyNumberFormat="1" applyFont="1" applyFill="1" applyBorder="1" applyAlignment="1">
      <alignment horizontal="center" vertical="center" wrapText="1"/>
    </xf>
    <xf numFmtId="2" fontId="2" fillId="6" borderId="3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 applyProtection="1">
      <alignment horizontal="center" vertical="center" wrapText="1"/>
    </xf>
    <xf numFmtId="49" fontId="2" fillId="5" borderId="6" xfId="0" applyNumberFormat="1" applyFont="1" applyFill="1" applyBorder="1" applyAlignment="1" applyProtection="1">
      <alignment horizontal="center" vertical="center" wrapText="1"/>
    </xf>
  </cellXfs>
  <cellStyles count="5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99CCFF"/>
      <color rgb="FFCCCCFF"/>
      <color rgb="FF33CCCC"/>
      <color rgb="FF00CCFF"/>
      <color rgb="FF33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438150</xdr:colOff>
          <xdr:row>0</xdr:row>
          <xdr:rowOff>0</xdr:rowOff>
        </xdr:from>
        <xdr:to>
          <xdr:col>17</xdr:col>
          <xdr:colOff>514350</xdr:colOff>
          <xdr:row>0</xdr:row>
          <xdr:rowOff>0</xdr:rowOff>
        </xdr:to>
        <xdr:sp macro="" textlink="">
          <xdr:nvSpPr>
            <xdr:cNvPr id="2591" name="SaveCSVChallan24Q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466725</xdr:colOff>
          <xdr:row>0</xdr:row>
          <xdr:rowOff>0</xdr:rowOff>
        </xdr:from>
        <xdr:to>
          <xdr:col>16</xdr:col>
          <xdr:colOff>390525</xdr:colOff>
          <xdr:row>0</xdr:row>
          <xdr:rowOff>0</xdr:rowOff>
        </xdr:to>
        <xdr:sp macro="" textlink="">
          <xdr:nvSpPr>
            <xdr:cNvPr id="2599" name="SaveTabChallan24Q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38100</xdr:rowOff>
    </xdr:from>
    <xdr:to>
      <xdr:col>21</xdr:col>
      <xdr:colOff>19050</xdr:colOff>
      <xdr:row>0</xdr:row>
      <xdr:rowOff>38100</xdr:rowOff>
    </xdr:to>
    <xdr:sp macro="" textlink="">
      <xdr:nvSpPr>
        <xdr:cNvPr id="3430" name="Line 3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ShapeType="1"/>
        </xdr:cNvSpPr>
      </xdr:nvSpPr>
      <xdr:spPr bwMode="auto">
        <a:xfrm>
          <a:off x="16735425" y="47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"/>
  <sheetViews>
    <sheetView topLeftCell="G1" workbookViewId="0">
      <pane ySplit="2" topLeftCell="A3" activePane="bottomLeft" state="frozen"/>
      <selection pane="bottomLeft" activeCell="P3" sqref="P3"/>
    </sheetView>
  </sheetViews>
  <sheetFormatPr defaultColWidth="0" defaultRowHeight="12.75" x14ac:dyDescent="0.2"/>
  <cols>
    <col min="1" max="1" width="16.85546875" style="6" bestFit="1" customWidth="1"/>
    <col min="2" max="2" width="8.85546875" style="35" customWidth="1"/>
    <col min="3" max="3" width="10.5703125" style="36" customWidth="1"/>
    <col min="4" max="4" width="9.140625" style="35" customWidth="1"/>
    <col min="5" max="5" width="9" style="35" customWidth="1"/>
    <col min="6" max="6" width="8" style="35" customWidth="1"/>
    <col min="7" max="7" width="8.28515625" style="35" customWidth="1"/>
    <col min="8" max="8" width="12.7109375" style="35" customWidth="1"/>
    <col min="9" max="9" width="12.5703125" style="35" customWidth="1"/>
    <col min="10" max="10" width="14.5703125" style="6" customWidth="1"/>
    <col min="11" max="11" width="10.5703125" style="6" customWidth="1"/>
    <col min="12" max="12" width="13.42578125" style="6" customWidth="1"/>
    <col min="13" max="13" width="17.7109375" style="6" customWidth="1"/>
    <col min="14" max="14" width="13.85546875" style="6" customWidth="1"/>
    <col min="15" max="15" width="10.5703125" style="6" customWidth="1"/>
    <col min="16" max="16" width="19.85546875" style="6" customWidth="1"/>
    <col min="17" max="17" width="10.85546875" style="6" bestFit="1" customWidth="1"/>
    <col min="18" max="18" width="16.28515625" style="35" customWidth="1"/>
    <col min="19" max="19" width="13.5703125" style="35" bestFit="1" customWidth="1"/>
    <col min="20" max="20" width="13.42578125" style="35" customWidth="1"/>
    <col min="21" max="21" width="9.140625" style="9" hidden="1" customWidth="1"/>
    <col min="22" max="22" width="9.140625" style="18" hidden="1" customWidth="1"/>
    <col min="23" max="23" width="9.140625" style="9" hidden="1" customWidth="1"/>
    <col min="24" max="24" width="9.140625" style="18" hidden="1" customWidth="1"/>
    <col min="25" max="25" width="9.140625" style="9" hidden="1" customWidth="1"/>
    <col min="26" max="26" width="9.140625" style="10" hidden="1" customWidth="1"/>
    <col min="27" max="16384" width="9.140625" style="9" hidden="1"/>
  </cols>
  <sheetData>
    <row r="1" spans="1:26" s="2" customFormat="1" ht="63.75" x14ac:dyDescent="0.2">
      <c r="A1" s="42" t="s">
        <v>81</v>
      </c>
      <c r="B1" s="63" t="s">
        <v>57</v>
      </c>
      <c r="C1" s="29" t="s">
        <v>0</v>
      </c>
      <c r="D1" s="29" t="s">
        <v>1</v>
      </c>
      <c r="E1" s="29" t="s">
        <v>2</v>
      </c>
      <c r="F1" s="29" t="s">
        <v>24</v>
      </c>
      <c r="G1" s="29" t="s">
        <v>25</v>
      </c>
      <c r="H1" s="51" t="s">
        <v>3</v>
      </c>
      <c r="I1" s="34" t="s">
        <v>56</v>
      </c>
      <c r="J1" s="30" t="s">
        <v>26</v>
      </c>
      <c r="K1" s="45" t="s">
        <v>4</v>
      </c>
      <c r="L1" s="30" t="s">
        <v>27</v>
      </c>
      <c r="M1" s="47" t="s">
        <v>96</v>
      </c>
      <c r="N1" s="30" t="s">
        <v>28</v>
      </c>
      <c r="O1" s="45" t="s">
        <v>29</v>
      </c>
      <c r="P1" s="32" t="s">
        <v>73</v>
      </c>
      <c r="Q1" s="30" t="s">
        <v>30</v>
      </c>
      <c r="R1" s="29" t="s">
        <v>7</v>
      </c>
      <c r="S1" s="29" t="s">
        <v>8</v>
      </c>
      <c r="T1" s="57" t="s">
        <v>9</v>
      </c>
      <c r="V1" s="16"/>
      <c r="X1" s="16"/>
      <c r="Z1" s="4"/>
    </row>
    <row r="2" spans="1:26" s="3" customFormat="1" ht="15" customHeight="1" x14ac:dyDescent="0.2">
      <c r="A2" s="44" t="s">
        <v>23</v>
      </c>
      <c r="B2" s="25">
        <v>302</v>
      </c>
      <c r="C2" s="25">
        <v>303</v>
      </c>
      <c r="D2" s="25">
        <v>304</v>
      </c>
      <c r="E2" s="25">
        <v>305</v>
      </c>
      <c r="F2" s="25">
        <v>306</v>
      </c>
      <c r="G2" s="25">
        <v>307</v>
      </c>
      <c r="H2" s="46"/>
      <c r="I2" s="25">
        <v>308</v>
      </c>
      <c r="J2" s="25">
        <v>309</v>
      </c>
      <c r="K2" s="46"/>
      <c r="L2" s="25">
        <v>310</v>
      </c>
      <c r="M2" s="46"/>
      <c r="N2" s="25">
        <v>311</v>
      </c>
      <c r="O2" s="48"/>
      <c r="P2" s="27">
        <v>312</v>
      </c>
      <c r="Q2" s="25">
        <v>313</v>
      </c>
      <c r="R2" s="28" t="s">
        <v>23</v>
      </c>
      <c r="S2" s="25" t="s">
        <v>23</v>
      </c>
      <c r="T2" s="41" t="s">
        <v>23</v>
      </c>
      <c r="V2" s="17"/>
      <c r="X2" s="17"/>
      <c r="Z2" s="5"/>
    </row>
    <row r="3" spans="1:26" s="18" customFormat="1" x14ac:dyDescent="0.2">
      <c r="A3" s="6"/>
      <c r="B3" s="35"/>
      <c r="C3" s="36"/>
      <c r="D3" s="35"/>
      <c r="E3" s="35"/>
      <c r="F3" s="35"/>
      <c r="G3" s="35"/>
      <c r="H3" s="35"/>
      <c r="I3" s="35"/>
      <c r="J3" s="6"/>
      <c r="K3" s="6"/>
      <c r="L3" s="79"/>
      <c r="M3" s="6"/>
      <c r="N3" s="79"/>
      <c r="O3" s="6"/>
      <c r="P3" s="79"/>
      <c r="Q3" s="6"/>
      <c r="R3" s="35"/>
      <c r="S3" s="35"/>
      <c r="T3" s="35"/>
      <c r="Z3" s="81"/>
    </row>
    <row r="4" spans="1:26" x14ac:dyDescent="0.2">
      <c r="L4" s="79"/>
      <c r="N4" s="79"/>
      <c r="P4" s="79"/>
    </row>
    <row r="5" spans="1:26" x14ac:dyDescent="0.2">
      <c r="L5" s="79"/>
      <c r="N5" s="79"/>
      <c r="P5" s="79"/>
    </row>
  </sheetData>
  <sheetProtection formatCells="0" formatColumns="0" formatRows="0" insertRows="0" deleteRows="0" sort="0" autoFilter="0"/>
  <customSheetViews>
    <customSheetView guid="{08A3DA2C-51A0-4555-9AB0-E2DC0178DBF2}" hiddenColumns="1" showRuler="0">
      <selection activeCell="D11" sqref="D11"/>
      <pageMargins left="0.75" right="0.75" top="1" bottom="1" header="0.5" footer="0.5"/>
      <pageSetup paperSize="9" orientation="portrait" r:id="rId1"/>
      <headerFooter alignWithMargins="0"/>
    </customSheetView>
  </customSheetViews>
  <phoneticPr fontId="0" type="noConversion"/>
  <dataValidations xWindow="247" yWindow="424" count="4">
    <dataValidation type="textLength" allowBlank="1" showInputMessage="1" showErrorMessage="1" sqref="L1:L2 M2" xr:uid="{00000000-0002-0000-0000-000000000000}">
      <formula1>0</formula1>
      <formula2>7</formula2>
    </dataValidation>
    <dataValidation type="list" allowBlank="1" showInputMessage="1" showErrorMessage="1" sqref="A3:A1048576" xr:uid="{00000000-0002-0000-0000-000001000000}">
      <formula1>"Update"</formula1>
    </dataValidation>
    <dataValidation type="list" allowBlank="1" showInputMessage="1" showErrorMessage="1" sqref="J3:J1048576" xr:uid="{00000000-0002-0000-0000-000002000000}">
      <formula1>"C, B"</formula1>
    </dataValidation>
    <dataValidation type="list" allowBlank="1" showInputMessage="1" showErrorMessage="1" sqref="Q3:Q1048576" xr:uid="{00000000-0002-0000-0000-000003000000}">
      <formula1>"200, 400"</formula1>
    </dataValidation>
  </dataValidations>
  <pageMargins left="0.75" right="0.75" top="1" bottom="1" header="0.5" footer="0.5"/>
  <pageSetup paperSize="9"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2591" r:id="rId5" name="SaveCSVChallan24Q">
          <controlPr defaultSize="0" autoFill="0" autoLine="0" autoPict="0" r:id="rId6">
            <anchor moveWithCells="1" sizeWithCells="1">
              <from>
                <xdr:col>16</xdr:col>
                <xdr:colOff>438150</xdr:colOff>
                <xdr:row>0</xdr:row>
                <xdr:rowOff>0</xdr:rowOff>
              </from>
              <to>
                <xdr:col>17</xdr:col>
                <xdr:colOff>514350</xdr:colOff>
                <xdr:row>0</xdr:row>
                <xdr:rowOff>0</xdr:rowOff>
              </to>
            </anchor>
          </controlPr>
        </control>
      </mc:Choice>
      <mc:Fallback>
        <control shapeId="2591" r:id="rId5" name="SaveCSVChallan24Q"/>
      </mc:Fallback>
    </mc:AlternateContent>
    <mc:AlternateContent xmlns:mc="http://schemas.openxmlformats.org/markup-compatibility/2006">
      <mc:Choice Requires="x14">
        <control shapeId="2599" r:id="rId7" name="SaveTabChallan24Q">
          <controlPr defaultSize="0" autoFill="0" autoLine="0" autoPict="0" r:id="rId8">
            <anchor moveWithCells="1" sizeWithCells="1">
              <from>
                <xdr:col>15</xdr:col>
                <xdr:colOff>466725</xdr:colOff>
                <xdr:row>0</xdr:row>
                <xdr:rowOff>0</xdr:rowOff>
              </from>
              <to>
                <xdr:col>16</xdr:col>
                <xdr:colOff>390525</xdr:colOff>
                <xdr:row>0</xdr:row>
                <xdr:rowOff>0</xdr:rowOff>
              </to>
            </anchor>
          </controlPr>
        </control>
      </mc:Choice>
      <mc:Fallback>
        <control shapeId="2599" r:id="rId7" name="SaveTabChallan24Q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10"/>
  <sheetViews>
    <sheetView topLeftCell="I1" workbookViewId="0">
      <pane ySplit="2" topLeftCell="A3" activePane="bottomLeft" state="frozen"/>
      <selection activeCell="A3" sqref="A3"/>
      <selection pane="bottomLeft" activeCell="I5" sqref="I5"/>
    </sheetView>
  </sheetViews>
  <sheetFormatPr defaultColWidth="9.140625" defaultRowHeight="12.75" x14ac:dyDescent="0.2"/>
  <cols>
    <col min="1" max="1" width="16.140625" style="18" customWidth="1"/>
    <col min="2" max="2" width="8" style="39" customWidth="1"/>
    <col min="3" max="3" width="12.7109375" style="40" bestFit="1" customWidth="1"/>
    <col min="4" max="4" width="12.85546875" style="49" customWidth="1"/>
    <col min="5" max="5" width="9.5703125" style="49" customWidth="1"/>
    <col min="6" max="6" width="13.42578125" style="6" customWidth="1"/>
    <col min="7" max="7" width="8.85546875" style="6" customWidth="1"/>
    <col min="8" max="8" width="33.5703125" style="6" customWidth="1"/>
    <col min="9" max="9" width="13.42578125" style="6" customWidth="1"/>
    <col min="10" max="10" width="13.140625" style="6" customWidth="1"/>
    <col min="11" max="11" width="13.85546875" style="6" customWidth="1"/>
    <col min="12" max="12" width="11.7109375" style="35" bestFit="1" customWidth="1"/>
    <col min="13" max="13" width="9.5703125" style="35" customWidth="1"/>
    <col min="14" max="14" width="10.7109375" style="35" customWidth="1"/>
    <col min="15" max="15" width="9.140625" style="35" customWidth="1"/>
    <col min="16" max="16" width="10.7109375" style="35" customWidth="1"/>
    <col min="17" max="17" width="16.42578125" style="35" customWidth="1"/>
    <col min="18" max="18" width="12.85546875" style="35" customWidth="1"/>
    <col min="19" max="19" width="12.140625" style="35" customWidth="1"/>
    <col min="20" max="20" width="12.7109375" style="6" customWidth="1"/>
    <col min="21" max="21" width="14.140625" style="18" customWidth="1"/>
    <col min="22" max="22" width="21.85546875" style="18" customWidth="1"/>
    <col min="23" max="23" width="10.7109375" style="18" customWidth="1"/>
    <col min="24" max="24" width="9.140625" style="18" customWidth="1"/>
    <col min="25" max="29" width="9.140625" style="43" customWidth="1"/>
    <col min="30" max="30" width="9.140625" style="21" customWidth="1"/>
    <col min="31" max="16384" width="9.140625" style="15"/>
  </cols>
  <sheetData>
    <row r="1" spans="1:30" s="13" customFormat="1" ht="66" customHeight="1" x14ac:dyDescent="0.2">
      <c r="A1" s="42" t="s">
        <v>79</v>
      </c>
      <c r="B1" s="33" t="s">
        <v>61</v>
      </c>
      <c r="C1" s="33" t="s">
        <v>62</v>
      </c>
      <c r="D1" s="45" t="s">
        <v>63</v>
      </c>
      <c r="E1" s="45" t="s">
        <v>64</v>
      </c>
      <c r="F1" s="32" t="s">
        <v>82</v>
      </c>
      <c r="G1" s="30" t="s">
        <v>65</v>
      </c>
      <c r="H1" s="32" t="s">
        <v>66</v>
      </c>
      <c r="I1" s="30" t="s">
        <v>31</v>
      </c>
      <c r="J1" s="32" t="s">
        <v>74</v>
      </c>
      <c r="K1" s="32" t="s">
        <v>75</v>
      </c>
      <c r="L1" s="29" t="s">
        <v>67</v>
      </c>
      <c r="M1" s="34" t="s">
        <v>96</v>
      </c>
      <c r="N1" s="34" t="s">
        <v>0</v>
      </c>
      <c r="O1" s="34" t="s">
        <v>1</v>
      </c>
      <c r="P1" s="51" t="s">
        <v>68</v>
      </c>
      <c r="Q1" s="34" t="s">
        <v>71</v>
      </c>
      <c r="R1" s="51" t="s">
        <v>60</v>
      </c>
      <c r="S1" s="34" t="s">
        <v>58</v>
      </c>
      <c r="T1" s="32" t="s">
        <v>76</v>
      </c>
      <c r="U1" s="31" t="s">
        <v>69</v>
      </c>
      <c r="V1" s="31" t="s">
        <v>72</v>
      </c>
      <c r="W1" s="52" t="s">
        <v>70</v>
      </c>
      <c r="X1" s="42" t="s">
        <v>5</v>
      </c>
      <c r="Y1" s="42" t="s">
        <v>6</v>
      </c>
      <c r="Z1" s="54" t="s">
        <v>32</v>
      </c>
      <c r="AA1" s="54" t="s">
        <v>59</v>
      </c>
      <c r="AB1" s="54" t="s">
        <v>10</v>
      </c>
      <c r="AC1" s="54" t="s">
        <v>125</v>
      </c>
      <c r="AD1" s="19"/>
    </row>
    <row r="2" spans="1:30" s="14" customFormat="1" ht="15.75" customHeight="1" x14ac:dyDescent="0.2">
      <c r="A2" s="53" t="s">
        <v>23</v>
      </c>
      <c r="B2" s="60" t="s">
        <v>23</v>
      </c>
      <c r="C2" s="38">
        <v>315</v>
      </c>
      <c r="D2" s="50"/>
      <c r="E2" s="50"/>
      <c r="F2" s="58">
        <v>316</v>
      </c>
      <c r="G2" s="37" t="s">
        <v>23</v>
      </c>
      <c r="H2" s="38">
        <v>317</v>
      </c>
      <c r="I2" s="38">
        <v>318</v>
      </c>
      <c r="J2" s="38">
        <v>319</v>
      </c>
      <c r="K2" s="38">
        <v>320</v>
      </c>
      <c r="L2" s="38">
        <v>321</v>
      </c>
      <c r="M2" s="38">
        <v>322</v>
      </c>
      <c r="N2" s="38">
        <v>323</v>
      </c>
      <c r="O2" s="38">
        <v>324</v>
      </c>
      <c r="P2" s="59"/>
      <c r="Q2" s="38">
        <v>325</v>
      </c>
      <c r="R2" s="59"/>
      <c r="S2" s="38">
        <v>326</v>
      </c>
      <c r="T2" s="38">
        <v>327</v>
      </c>
      <c r="U2" s="1">
        <v>328</v>
      </c>
      <c r="V2" s="1">
        <v>329</v>
      </c>
      <c r="W2" s="61" t="s">
        <v>23</v>
      </c>
      <c r="X2" s="61" t="s">
        <v>23</v>
      </c>
      <c r="Y2" s="56" t="s">
        <v>23</v>
      </c>
      <c r="Z2" s="62" t="s">
        <v>23</v>
      </c>
      <c r="AA2" s="55" t="s">
        <v>23</v>
      </c>
      <c r="AB2" s="55" t="s">
        <v>23</v>
      </c>
      <c r="AC2" s="55" t="s">
        <v>23</v>
      </c>
      <c r="AD2" s="20"/>
    </row>
    <row r="3" spans="1:30" x14ac:dyDescent="0.2">
      <c r="F3" s="80"/>
      <c r="H3" s="80"/>
      <c r="I3" s="79"/>
      <c r="J3" s="79"/>
      <c r="K3" s="79"/>
      <c r="T3" s="79"/>
    </row>
    <row r="4" spans="1:30" x14ac:dyDescent="0.2">
      <c r="F4"/>
      <c r="H4"/>
      <c r="I4" s="79"/>
      <c r="J4" s="79"/>
      <c r="K4" s="79"/>
      <c r="T4" s="79"/>
    </row>
    <row r="5" spans="1:30" x14ac:dyDescent="0.2">
      <c r="F5"/>
      <c r="H5"/>
      <c r="I5" s="79"/>
      <c r="J5" s="79"/>
      <c r="K5" s="79"/>
      <c r="T5" s="79"/>
    </row>
    <row r="10" spans="1:30" x14ac:dyDescent="0.2">
      <c r="G10" s="79"/>
    </row>
  </sheetData>
  <sheetProtection formatCells="0" formatColumns="0" formatRows="0" insertRows="0" deleteRows="0" sort="0" autoFilter="0"/>
  <autoFilter ref="A2:AB2" xr:uid="{00000000-0009-0000-0000-000001000000}"/>
  <dataConsolidate/>
  <customSheetViews>
    <customSheetView guid="{08A3DA2C-51A0-4555-9AB0-E2DC0178DBF2}" hiddenColumns="1" showRuler="0">
      <selection activeCell="G21" sqref="G21"/>
      <pageMargins left="0.75" right="0.75" top="1" bottom="1" header="0.5" footer="0.5"/>
      <pageSetup paperSize="9" orientation="portrait" r:id="rId1"/>
      <headerFooter alignWithMargins="0"/>
    </customSheetView>
  </customSheetViews>
  <phoneticPr fontId="0" type="noConversion"/>
  <dataValidations xWindow="206" yWindow="356" count="7">
    <dataValidation type="list" allowBlank="1" showInputMessage="1" showErrorMessage="1" promptTitle="Note:" prompt="Deletion of deductee record has been withdrawn. Please refer the note give on Instruction Sheet of the Template Or Comment given on Cell &quot;A2&quot; of the current Sheet." sqref="A3:A1048576" xr:uid="{00000000-0002-0000-0100-000000000000}">
      <formula1>"Update,PanUpdate,Add"</formula1>
    </dataValidation>
    <dataValidation allowBlank="1" showInputMessage="1" showErrorMessage="1" sqref="A2" xr:uid="{00000000-0002-0000-0100-000001000000}"/>
    <dataValidation type="list" operator="equal" showInputMessage="1" promptTitle="PAN:" prompt="_x000a_Exact 10 characters long_x000a__x000a_If available, should be like AAAAA9999A format_x000a_If not available, select from the list provided_x000a__x000a_Mandatory" sqref="F3:F1048576" xr:uid="{00000000-0002-0000-0100-000002000000}">
      <formula1>"PANAPPLIED, PANINVALID, PANNOTAVBL"</formula1>
    </dataValidation>
    <dataValidation type="list" allowBlank="1" showInputMessage="1" showErrorMessage="1" sqref="U3:U1048576" xr:uid="{00000000-0002-0000-0100-000003000000}">
      <formula1>"A, B, C"</formula1>
    </dataValidation>
    <dataValidation type="list" allowBlank="1" showInputMessage="1" showErrorMessage="1" sqref="I6:I1048576" xr:uid="{00000000-0002-0000-0100-000004000000}">
      <formula1>"92A, 92B, 92C"</formula1>
    </dataValidation>
    <dataValidation type="list" allowBlank="1" showInputMessage="1" showErrorMessage="1" errorTitle="TaxPro:" error="Please select the Value from the list" promptTitle="TaxPro:" prompt="Please select the Value from the list" sqref="B2" xr:uid="{00000000-0002-0000-0100-000005000000}">
      <formula1>#REF!</formula1>
    </dataValidation>
    <dataValidation allowBlank="1" showInputMessage="1" showErrorMessage="1" errorTitle="TaxPro:" error="Please select the Value from the list" promptTitle="TaxPro:" prompt="Please select the Value from the list" sqref="B3:B1048576" xr:uid="{00000000-0002-0000-0100-000006000000}"/>
  </dataValidation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U53"/>
  <sheetViews>
    <sheetView tabSelected="1" zoomScaleSheetLayoutView="98" workbookViewId="0">
      <pane xSplit="4" ySplit="3" topLeftCell="AI19" activePane="bottomRight" state="frozen"/>
      <selection pane="topRight" activeCell="E1" sqref="E1"/>
      <selection pane="bottomLeft" activeCell="A4" sqref="A4"/>
      <selection pane="bottomRight" activeCell="AM28" sqref="AM28"/>
    </sheetView>
  </sheetViews>
  <sheetFormatPr defaultColWidth="0" defaultRowHeight="12.75" customHeight="1" x14ac:dyDescent="0.2"/>
  <cols>
    <col min="1" max="1" width="14" style="6" customWidth="1"/>
    <col min="2" max="2" width="16.42578125" style="7" customWidth="1"/>
    <col min="3" max="3" width="9.28515625" style="8" bestFit="1" customWidth="1"/>
    <col min="4" max="4" width="42" style="7" customWidth="1"/>
    <col min="5" max="5" width="22.85546875" style="7" bestFit="1" customWidth="1"/>
    <col min="6" max="6" width="16.42578125" style="7" bestFit="1" customWidth="1"/>
    <col min="7" max="7" width="10.140625" style="24" customWidth="1"/>
    <col min="8" max="8" width="10.85546875" style="24" customWidth="1"/>
    <col min="9" max="9" width="15.28515625" style="36" customWidth="1"/>
    <col min="10" max="10" width="21.42578125" style="36" customWidth="1"/>
    <col min="11" max="11" width="21.7109375" style="36" customWidth="1"/>
    <col min="12" max="12" width="17.42578125" style="66" customWidth="1"/>
    <col min="13" max="13" width="8.42578125" style="36" customWidth="1"/>
    <col min="14" max="14" width="13.28515625" style="66" customWidth="1"/>
    <col min="15" max="15" width="15.7109375" style="66" customWidth="1"/>
    <col min="16" max="16" width="14.5703125" style="66" customWidth="1"/>
    <col min="17" max="17" width="21.140625" style="68" customWidth="1"/>
    <col min="18" max="18" width="17" style="68" customWidth="1"/>
    <col min="19" max="19" width="14.85546875" style="69" customWidth="1"/>
    <col min="20" max="20" width="16.7109375" style="68" customWidth="1"/>
    <col min="21" max="21" width="14.85546875" style="36" customWidth="1"/>
    <col min="22" max="22" width="19.28515625" style="66" customWidth="1"/>
    <col min="23" max="23" width="16.5703125" style="66" customWidth="1"/>
    <col min="24" max="24" width="26.140625" style="36" customWidth="1"/>
    <col min="25" max="25" width="18" style="36" customWidth="1"/>
    <col min="26" max="26" width="11.85546875" style="66" customWidth="1"/>
    <col min="27" max="27" width="19.28515625" style="66" customWidth="1"/>
    <col min="28" max="28" width="13.28515625" style="66" customWidth="1"/>
    <col min="29" max="29" width="11.5703125" style="66" bestFit="1" customWidth="1"/>
    <col min="30" max="30" width="15.28515625" style="66" customWidth="1"/>
    <col min="31" max="31" width="13.5703125" style="66" customWidth="1"/>
    <col min="32" max="32" width="14.5703125" style="66" customWidth="1"/>
    <col min="33" max="33" width="17.42578125" style="70" customWidth="1"/>
    <col min="34" max="34" width="19.5703125" style="69" customWidth="1"/>
    <col min="35" max="35" width="16.28515625" style="69" customWidth="1"/>
    <col min="36" max="36" width="22.140625" style="69" customWidth="1"/>
    <col min="37" max="37" width="16.7109375" style="69" customWidth="1"/>
    <col min="38" max="39" width="16.7109375" style="65" customWidth="1"/>
    <col min="40" max="40" width="16.7109375" style="75" customWidth="1"/>
    <col min="41" max="41" width="8.140625" style="75" hidden="1" customWidth="1"/>
    <col min="42" max="42" width="6.140625" style="75" customWidth="1"/>
    <col min="43" max="43" width="8.7109375" style="75" customWidth="1"/>
    <col min="44" max="44" width="16.7109375" style="65" customWidth="1"/>
    <col min="45" max="45" width="18.5703125" style="15" customWidth="1"/>
    <col min="46" max="46" width="10.85546875" style="15" customWidth="1"/>
    <col min="47" max="54" width="9.140625" style="15" customWidth="1"/>
    <col min="55" max="55" width="14.42578125" style="15" customWidth="1"/>
    <col min="56" max="56" width="9.140625" style="15" customWidth="1"/>
    <col min="57" max="64" width="16.28515625" style="15" customWidth="1"/>
    <col min="65" max="65" width="17.7109375" style="15" customWidth="1"/>
    <col min="66" max="68" width="13.140625" style="15" customWidth="1"/>
    <col min="69" max="71" width="11.7109375" style="15" customWidth="1"/>
    <col min="72" max="72" width="14.85546875" style="15" customWidth="1"/>
    <col min="73" max="73" width="9.140625" style="15" customWidth="1"/>
    <col min="74" max="16384" width="9.140625" style="15" hidden="1"/>
  </cols>
  <sheetData>
    <row r="1" spans="1:73" s="22" customFormat="1" ht="25.5" customHeight="1" x14ac:dyDescent="0.2">
      <c r="A1" s="147" t="s">
        <v>80</v>
      </c>
      <c r="B1" s="149" t="s">
        <v>11</v>
      </c>
      <c r="C1" s="145" t="s">
        <v>17</v>
      </c>
      <c r="D1" s="149" t="s">
        <v>12</v>
      </c>
      <c r="E1" s="149" t="s">
        <v>13</v>
      </c>
      <c r="F1" s="145" t="s">
        <v>16</v>
      </c>
      <c r="G1" s="150" t="s">
        <v>33</v>
      </c>
      <c r="H1" s="151"/>
      <c r="I1" s="155" t="s">
        <v>34</v>
      </c>
      <c r="J1" s="156"/>
      <c r="K1" s="157"/>
      <c r="L1" s="158" t="s">
        <v>91</v>
      </c>
      <c r="M1" s="78" t="s">
        <v>96</v>
      </c>
      <c r="N1" s="138" t="s">
        <v>36</v>
      </c>
      <c r="O1" s="138" t="s">
        <v>37</v>
      </c>
      <c r="P1" s="138" t="s">
        <v>38</v>
      </c>
      <c r="Q1" s="138" t="s">
        <v>39</v>
      </c>
      <c r="R1" s="138" t="s">
        <v>40</v>
      </c>
      <c r="S1" s="138" t="s">
        <v>41</v>
      </c>
      <c r="T1" s="138" t="s">
        <v>92</v>
      </c>
      <c r="U1" s="138" t="s">
        <v>42</v>
      </c>
      <c r="V1" s="138" t="s">
        <v>83</v>
      </c>
      <c r="W1" s="141" t="s">
        <v>43</v>
      </c>
      <c r="X1" s="138" t="s">
        <v>95</v>
      </c>
      <c r="Y1" s="76" t="s">
        <v>14</v>
      </c>
      <c r="Z1" s="138" t="s">
        <v>85</v>
      </c>
      <c r="AA1" s="138" t="s">
        <v>86</v>
      </c>
      <c r="AB1" s="76" t="s">
        <v>15</v>
      </c>
      <c r="AC1" s="138" t="s">
        <v>44</v>
      </c>
      <c r="AD1" s="138" t="s">
        <v>45</v>
      </c>
      <c r="AE1" s="138" t="s">
        <v>94</v>
      </c>
      <c r="AF1" s="138" t="s">
        <v>0</v>
      </c>
      <c r="AG1" s="138" t="s">
        <v>46</v>
      </c>
      <c r="AH1" s="138" t="s">
        <v>47</v>
      </c>
      <c r="AI1" s="138" t="s">
        <v>48</v>
      </c>
      <c r="AJ1" s="138" t="s">
        <v>49</v>
      </c>
      <c r="AK1" s="140" t="s">
        <v>50</v>
      </c>
      <c r="AL1" s="140" t="s">
        <v>51</v>
      </c>
      <c r="AM1" s="144" t="s">
        <v>52</v>
      </c>
      <c r="AN1" s="144" t="s">
        <v>53</v>
      </c>
      <c r="AO1" s="143" t="s">
        <v>54</v>
      </c>
      <c r="AP1" s="143" t="s">
        <v>55</v>
      </c>
      <c r="AQ1" s="143" t="s">
        <v>89</v>
      </c>
      <c r="AR1" s="144" t="s">
        <v>93</v>
      </c>
      <c r="AS1" s="144" t="s">
        <v>97</v>
      </c>
      <c r="AT1" s="144" t="s">
        <v>98</v>
      </c>
      <c r="AU1" s="144" t="s">
        <v>99</v>
      </c>
      <c r="AV1" s="144" t="s">
        <v>100</v>
      </c>
      <c r="AW1" s="144" t="s">
        <v>101</v>
      </c>
      <c r="AX1" s="144" t="s">
        <v>102</v>
      </c>
      <c r="AY1" s="144" t="s">
        <v>103</v>
      </c>
      <c r="AZ1" s="144" t="s">
        <v>104</v>
      </c>
      <c r="BA1" s="144" t="s">
        <v>105</v>
      </c>
      <c r="BB1" s="144" t="s">
        <v>106</v>
      </c>
      <c r="BC1" s="144" t="s">
        <v>107</v>
      </c>
      <c r="BD1" s="144" t="s">
        <v>108</v>
      </c>
      <c r="BE1" s="144" t="s">
        <v>109</v>
      </c>
      <c r="BF1" s="144" t="s">
        <v>110</v>
      </c>
      <c r="BG1" s="144" t="s">
        <v>111</v>
      </c>
      <c r="BH1" s="144" t="s">
        <v>112</v>
      </c>
      <c r="BI1" s="144" t="s">
        <v>113</v>
      </c>
      <c r="BJ1" s="144" t="s">
        <v>114</v>
      </c>
      <c r="BK1" s="144" t="s">
        <v>115</v>
      </c>
      <c r="BL1" s="144" t="s">
        <v>116</v>
      </c>
      <c r="BM1" s="144" t="s">
        <v>117</v>
      </c>
      <c r="BN1" s="144" t="s">
        <v>118</v>
      </c>
      <c r="BO1" s="144" t="s">
        <v>119</v>
      </c>
      <c r="BP1" s="144" t="s">
        <v>120</v>
      </c>
      <c r="BQ1" s="144" t="s">
        <v>121</v>
      </c>
      <c r="BR1" s="144" t="s">
        <v>122</v>
      </c>
      <c r="BS1" s="144" t="s">
        <v>123</v>
      </c>
      <c r="BT1" s="144" t="s">
        <v>124</v>
      </c>
      <c r="BU1" s="160" t="s">
        <v>125</v>
      </c>
    </row>
    <row r="2" spans="1:73" s="22" customFormat="1" ht="51" x14ac:dyDescent="0.2">
      <c r="A2" s="148"/>
      <c r="B2" s="146"/>
      <c r="C2" s="146"/>
      <c r="D2" s="146"/>
      <c r="E2" s="152"/>
      <c r="F2" s="146"/>
      <c r="G2" s="64" t="s">
        <v>77</v>
      </c>
      <c r="H2" s="64" t="s">
        <v>78</v>
      </c>
      <c r="I2" s="67" t="s">
        <v>18</v>
      </c>
      <c r="J2" s="67" t="s">
        <v>22</v>
      </c>
      <c r="K2" s="67" t="s">
        <v>35</v>
      </c>
      <c r="L2" s="159"/>
      <c r="M2" s="77" t="s">
        <v>88</v>
      </c>
      <c r="N2" s="139"/>
      <c r="O2" s="139"/>
      <c r="P2" s="139"/>
      <c r="Q2" s="139"/>
      <c r="R2" s="139"/>
      <c r="S2" s="139"/>
      <c r="T2" s="139"/>
      <c r="U2" s="139"/>
      <c r="V2" s="139"/>
      <c r="W2" s="142"/>
      <c r="X2" s="139"/>
      <c r="Y2" s="77" t="s">
        <v>88</v>
      </c>
      <c r="Z2" s="139"/>
      <c r="AA2" s="139"/>
      <c r="AB2" s="77" t="s">
        <v>88</v>
      </c>
      <c r="AC2" s="139"/>
      <c r="AD2" s="139"/>
      <c r="AE2" s="139"/>
      <c r="AF2" s="139"/>
      <c r="AG2" s="139"/>
      <c r="AH2" s="139"/>
      <c r="AI2" s="139"/>
      <c r="AJ2" s="139"/>
      <c r="AK2" s="140"/>
      <c r="AL2" s="140"/>
      <c r="AM2" s="144"/>
      <c r="AN2" s="144"/>
      <c r="AO2" s="143"/>
      <c r="AP2" s="143"/>
      <c r="AQ2" s="143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61"/>
    </row>
    <row r="3" spans="1:73" s="23" customFormat="1" ht="15.75" customHeight="1" x14ac:dyDescent="0.2">
      <c r="A3" s="53" t="s">
        <v>23</v>
      </c>
      <c r="B3" s="94">
        <v>331</v>
      </c>
      <c r="C3" s="94" t="s">
        <v>23</v>
      </c>
      <c r="D3" s="94">
        <v>332</v>
      </c>
      <c r="E3" s="12" t="s">
        <v>23</v>
      </c>
      <c r="F3" s="11">
        <v>333</v>
      </c>
      <c r="G3" s="153" t="s">
        <v>90</v>
      </c>
      <c r="H3" s="154"/>
      <c r="I3" s="73" t="s">
        <v>19</v>
      </c>
      <c r="J3" s="73" t="s">
        <v>20</v>
      </c>
      <c r="K3" s="73" t="s">
        <v>21</v>
      </c>
      <c r="L3" s="74"/>
      <c r="M3" s="72" t="s">
        <v>23</v>
      </c>
      <c r="N3" s="26">
        <v>335</v>
      </c>
      <c r="O3" s="71">
        <v>336</v>
      </c>
      <c r="P3" s="26">
        <v>337</v>
      </c>
      <c r="Q3" s="26">
        <v>338</v>
      </c>
      <c r="R3" s="26">
        <v>339</v>
      </c>
      <c r="S3" s="26" t="s">
        <v>23</v>
      </c>
      <c r="T3" s="26">
        <v>340</v>
      </c>
      <c r="U3" s="26">
        <v>341</v>
      </c>
      <c r="V3" s="26">
        <v>342</v>
      </c>
      <c r="W3" s="53" t="s">
        <v>23</v>
      </c>
      <c r="X3" s="26" t="s">
        <v>84</v>
      </c>
      <c r="Y3" s="72" t="s">
        <v>23</v>
      </c>
      <c r="Z3" s="26" t="s">
        <v>23</v>
      </c>
      <c r="AA3" s="26" t="s">
        <v>87</v>
      </c>
      <c r="AB3" s="72" t="s">
        <v>23</v>
      </c>
      <c r="AC3" s="26">
        <v>345</v>
      </c>
      <c r="AD3" s="26">
        <v>346</v>
      </c>
      <c r="AE3" s="26">
        <v>347</v>
      </c>
      <c r="AF3" s="26">
        <v>348</v>
      </c>
      <c r="AG3" s="26">
        <v>349</v>
      </c>
      <c r="AH3" s="26">
        <v>350</v>
      </c>
      <c r="AI3" s="26">
        <v>351</v>
      </c>
      <c r="AJ3" s="26">
        <v>352</v>
      </c>
      <c r="AK3" s="26">
        <v>353</v>
      </c>
      <c r="AL3" s="26">
        <v>354</v>
      </c>
      <c r="AM3" s="26">
        <v>355</v>
      </c>
      <c r="AN3" s="26">
        <v>356</v>
      </c>
      <c r="AO3" s="53" t="s">
        <v>23</v>
      </c>
      <c r="AP3" s="53" t="s">
        <v>23</v>
      </c>
      <c r="AQ3" s="53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42"/>
    </row>
    <row r="4" spans="1:73" s="108" customFormat="1" ht="12.75" customHeight="1" x14ac:dyDescent="0.2">
      <c r="A4" s="100"/>
      <c r="B4" s="123" t="s">
        <v>126</v>
      </c>
      <c r="C4" s="83">
        <v>10368</v>
      </c>
      <c r="D4" s="84" t="s">
        <v>176</v>
      </c>
      <c r="E4" s="100" t="s">
        <v>254</v>
      </c>
      <c r="F4" s="85" t="s">
        <v>232</v>
      </c>
      <c r="G4" s="101" t="s">
        <v>226</v>
      </c>
      <c r="H4" s="101" t="s">
        <v>227</v>
      </c>
      <c r="I4" s="108">
        <v>269822</v>
      </c>
      <c r="J4" s="65">
        <v>0</v>
      </c>
      <c r="K4" s="89">
        <v>0</v>
      </c>
      <c r="L4" s="108">
        <v>11570</v>
      </c>
      <c r="N4" s="93">
        <f t="shared" ref="N4:N13" si="0">I4+J4+K4-L4</f>
        <v>258252</v>
      </c>
      <c r="O4" s="93">
        <v>0</v>
      </c>
      <c r="P4" s="93">
        <f t="shared" ref="P4:P14" si="1">N4+O4</f>
        <v>258252</v>
      </c>
      <c r="Q4" s="88">
        <v>0</v>
      </c>
      <c r="R4" s="88">
        <v>2500</v>
      </c>
      <c r="S4" s="96">
        <f t="shared" ref="S4" si="2">Q4+R4</f>
        <v>2500</v>
      </c>
      <c r="T4" s="95">
        <f>P4-S4</f>
        <v>255752</v>
      </c>
      <c r="U4" s="97">
        <v>0</v>
      </c>
      <c r="V4" s="93">
        <f t="shared" ref="V4" si="3">T4+U4</f>
        <v>255752</v>
      </c>
      <c r="X4" s="65">
        <v>150000</v>
      </c>
      <c r="AA4" s="87">
        <v>500</v>
      </c>
      <c r="AC4" s="87">
        <f t="shared" ref="AC4" si="4">X4+AA4</f>
        <v>150500</v>
      </c>
      <c r="AD4" s="87">
        <f t="shared" ref="AD4" si="5">ROUND((V4-AC4),-1)</f>
        <v>105250</v>
      </c>
      <c r="AE4" s="98">
        <f t="shared" ref="AE4:AE33" si="6">IF((AD4&gt;1000000),(((AD4-1000000)*30%)+112500),(IF((AD4&gt;500000),((AD4-500000)*20%+12500),IF(AD4&gt;350000,((AD4-250000)*5%),IF(AD4&gt;250000,((AD4-250000)*5%-2500),0)))))</f>
        <v>0</v>
      </c>
      <c r="AJ4" s="106">
        <v>25276</v>
      </c>
      <c r="AK4" s="106"/>
      <c r="AL4" s="106">
        <f>AJ4</f>
        <v>25276</v>
      </c>
      <c r="AM4" s="65">
        <f>AI4-AL4</f>
        <v>-25276</v>
      </c>
      <c r="AN4" s="107"/>
      <c r="AO4" s="107"/>
      <c r="AP4" s="107"/>
      <c r="AQ4" s="107"/>
      <c r="AR4" s="102"/>
    </row>
    <row r="5" spans="1:73" ht="12.75" customHeight="1" x14ac:dyDescent="0.2">
      <c r="A5" s="82"/>
      <c r="B5" s="91" t="s">
        <v>127</v>
      </c>
      <c r="C5" s="91">
        <v>14005</v>
      </c>
      <c r="D5" s="92" t="s">
        <v>177</v>
      </c>
      <c r="E5" s="85" t="s">
        <v>229</v>
      </c>
      <c r="F5" s="85" t="s">
        <v>230</v>
      </c>
      <c r="G5" s="86" t="s">
        <v>226</v>
      </c>
      <c r="H5" s="86" t="s">
        <v>227</v>
      </c>
      <c r="I5" s="65">
        <v>749877</v>
      </c>
      <c r="J5" s="65">
        <v>0</v>
      </c>
      <c r="K5" s="65">
        <v>0</v>
      </c>
      <c r="L5" s="92">
        <v>1458</v>
      </c>
      <c r="M5" s="65"/>
      <c r="N5" s="93">
        <f t="shared" si="0"/>
        <v>748419</v>
      </c>
      <c r="O5" s="93">
        <v>0</v>
      </c>
      <c r="P5" s="93">
        <f t="shared" si="1"/>
        <v>748419</v>
      </c>
      <c r="Q5" s="88">
        <v>0</v>
      </c>
      <c r="R5" s="88">
        <v>2500</v>
      </c>
      <c r="S5" s="96">
        <f t="shared" ref="S5:S8" si="7">Q5+R5</f>
        <v>2500</v>
      </c>
      <c r="T5" s="95">
        <f t="shared" ref="T5:T8" si="8">P5-S5</f>
        <v>745919</v>
      </c>
      <c r="U5" s="97">
        <v>0</v>
      </c>
      <c r="V5" s="93">
        <f t="shared" ref="V5:V8" si="9">T5+U5</f>
        <v>745919</v>
      </c>
      <c r="W5" s="87"/>
      <c r="X5" s="65">
        <v>150000</v>
      </c>
      <c r="Y5" s="65"/>
      <c r="Z5" s="87">
        <v>0</v>
      </c>
      <c r="AA5" s="87">
        <v>500</v>
      </c>
      <c r="AB5" s="87"/>
      <c r="AC5" s="87">
        <f t="shared" ref="AC5:AC8" si="10">X5+AA5</f>
        <v>150500</v>
      </c>
      <c r="AD5" s="87">
        <f t="shared" ref="AD5:AD8" si="11">ROUND((V5-AC5),-1)</f>
        <v>595420</v>
      </c>
      <c r="AE5" s="98">
        <f t="shared" si="6"/>
        <v>31584</v>
      </c>
      <c r="AF5" s="87">
        <v>0</v>
      </c>
      <c r="AG5" s="90">
        <v>947.52</v>
      </c>
      <c r="AH5" s="89">
        <v>0</v>
      </c>
      <c r="AI5" s="89">
        <f>ROUNDUP((AE5+AG5),0)</f>
        <v>32532</v>
      </c>
      <c r="AJ5" s="89">
        <v>32532</v>
      </c>
      <c r="AK5" s="89">
        <v>0</v>
      </c>
      <c r="AL5" s="89">
        <f t="shared" ref="AL5:AL53" si="12">AJ5</f>
        <v>32532</v>
      </c>
      <c r="AM5" s="65">
        <f>AI5-AL5</f>
        <v>0</v>
      </c>
      <c r="AN5" s="75" t="s">
        <v>228</v>
      </c>
    </row>
    <row r="6" spans="1:73" ht="12.75" customHeight="1" x14ac:dyDescent="0.2">
      <c r="A6" s="82"/>
      <c r="B6" s="91" t="s">
        <v>128</v>
      </c>
      <c r="C6" s="91">
        <v>14009</v>
      </c>
      <c r="D6" s="92" t="s">
        <v>178</v>
      </c>
      <c r="E6" s="85" t="s">
        <v>231</v>
      </c>
      <c r="F6" s="85" t="s">
        <v>232</v>
      </c>
      <c r="G6" s="86" t="s">
        <v>226</v>
      </c>
      <c r="H6" s="86" t="s">
        <v>227</v>
      </c>
      <c r="I6" s="65">
        <v>703106</v>
      </c>
      <c r="J6" s="65">
        <v>0</v>
      </c>
      <c r="K6" s="65">
        <v>0</v>
      </c>
      <c r="L6" s="87">
        <v>5492</v>
      </c>
      <c r="M6" s="65"/>
      <c r="N6" s="93">
        <f t="shared" si="0"/>
        <v>697614</v>
      </c>
      <c r="O6" s="93">
        <v>0</v>
      </c>
      <c r="P6" s="93">
        <f t="shared" si="1"/>
        <v>697614</v>
      </c>
      <c r="Q6" s="95">
        <v>0</v>
      </c>
      <c r="R6" s="95">
        <v>2500</v>
      </c>
      <c r="S6" s="96">
        <f t="shared" si="7"/>
        <v>2500</v>
      </c>
      <c r="T6" s="95">
        <f t="shared" si="8"/>
        <v>695114</v>
      </c>
      <c r="U6" s="97">
        <v>-35996</v>
      </c>
      <c r="V6" s="93">
        <f t="shared" si="9"/>
        <v>659118</v>
      </c>
      <c r="W6" s="93"/>
      <c r="X6" s="97">
        <v>79362</v>
      </c>
      <c r="Y6" s="97"/>
      <c r="Z6" s="93">
        <v>0</v>
      </c>
      <c r="AA6" s="87">
        <v>500</v>
      </c>
      <c r="AB6" s="87"/>
      <c r="AC6" s="87">
        <f t="shared" si="10"/>
        <v>79862</v>
      </c>
      <c r="AD6" s="87">
        <f t="shared" si="11"/>
        <v>579260</v>
      </c>
      <c r="AE6" s="98">
        <f t="shared" si="6"/>
        <v>28352</v>
      </c>
      <c r="AF6" s="87">
        <v>0</v>
      </c>
      <c r="AG6" s="90">
        <v>850.56</v>
      </c>
      <c r="AH6" s="89">
        <v>0</v>
      </c>
      <c r="AI6" s="89">
        <f>ROUNDUP((AE6+AG6),0)</f>
        <v>29203</v>
      </c>
      <c r="AJ6" s="89">
        <v>29203</v>
      </c>
      <c r="AK6" s="89">
        <v>0</v>
      </c>
      <c r="AL6" s="89">
        <f t="shared" si="12"/>
        <v>29203</v>
      </c>
      <c r="AM6" s="65">
        <f t="shared" ref="AM6:AM53" si="13">AI6-AL6</f>
        <v>0</v>
      </c>
      <c r="AN6" s="75" t="s">
        <v>228</v>
      </c>
    </row>
    <row r="7" spans="1:73" s="108" customFormat="1" ht="12.75" customHeight="1" x14ac:dyDescent="0.2">
      <c r="A7" s="100"/>
      <c r="B7" s="123" t="s">
        <v>129</v>
      </c>
      <c r="C7" s="83">
        <v>14011</v>
      </c>
      <c r="D7" s="84" t="s">
        <v>179</v>
      </c>
      <c r="E7" s="100" t="s">
        <v>242</v>
      </c>
      <c r="F7" s="100" t="s">
        <v>232</v>
      </c>
      <c r="G7" s="101" t="s">
        <v>226</v>
      </c>
      <c r="H7" s="101" t="s">
        <v>227</v>
      </c>
      <c r="I7" s="102">
        <v>352407</v>
      </c>
      <c r="J7" s="102">
        <v>0</v>
      </c>
      <c r="K7" s="102">
        <v>0</v>
      </c>
      <c r="L7" s="102">
        <v>2325</v>
      </c>
      <c r="M7" s="102"/>
      <c r="N7" s="103">
        <f t="shared" si="0"/>
        <v>350082</v>
      </c>
      <c r="O7" s="103">
        <v>0</v>
      </c>
      <c r="P7" s="103">
        <f t="shared" si="1"/>
        <v>350082</v>
      </c>
      <c r="Q7" s="104">
        <v>0</v>
      </c>
      <c r="R7" s="104">
        <v>2500</v>
      </c>
      <c r="S7" s="104">
        <f t="shared" si="7"/>
        <v>2500</v>
      </c>
      <c r="T7" s="104">
        <f t="shared" si="8"/>
        <v>347582</v>
      </c>
      <c r="U7" s="103">
        <v>0</v>
      </c>
      <c r="V7" s="103">
        <f t="shared" si="9"/>
        <v>347582</v>
      </c>
      <c r="W7" s="103"/>
      <c r="X7" s="103">
        <v>0</v>
      </c>
      <c r="Y7" s="103"/>
      <c r="Z7" s="103">
        <v>0</v>
      </c>
      <c r="AA7" s="102">
        <v>0</v>
      </c>
      <c r="AB7" s="102"/>
      <c r="AC7" s="102">
        <f t="shared" si="10"/>
        <v>0</v>
      </c>
      <c r="AD7" s="102">
        <f t="shared" si="11"/>
        <v>347580</v>
      </c>
      <c r="AE7" s="137">
        <f t="shared" si="6"/>
        <v>2379</v>
      </c>
      <c r="AF7" s="102">
        <v>0</v>
      </c>
      <c r="AG7" s="105">
        <f>AE7*3%</f>
        <v>71.36999999999999</v>
      </c>
      <c r="AH7" s="106">
        <v>0</v>
      </c>
      <c r="AI7" s="106">
        <f>ROUNDUP((AE7+AG7),0)</f>
        <v>2451</v>
      </c>
      <c r="AJ7" s="106">
        <v>34722</v>
      </c>
      <c r="AK7" s="106">
        <v>0</v>
      </c>
      <c r="AL7" s="106">
        <f t="shared" si="12"/>
        <v>34722</v>
      </c>
      <c r="AM7" s="102">
        <f t="shared" si="13"/>
        <v>-32271</v>
      </c>
      <c r="AN7" s="107" t="s">
        <v>228</v>
      </c>
      <c r="AO7" s="107"/>
      <c r="AP7" s="107"/>
      <c r="AQ7" s="107"/>
      <c r="AR7" s="102"/>
    </row>
    <row r="8" spans="1:73" ht="12.75" customHeight="1" x14ac:dyDescent="0.2">
      <c r="A8" s="82"/>
      <c r="B8" s="91" t="s">
        <v>130</v>
      </c>
      <c r="C8" s="91">
        <v>14013</v>
      </c>
      <c r="D8" s="92" t="s">
        <v>180</v>
      </c>
      <c r="E8" s="85" t="s">
        <v>233</v>
      </c>
      <c r="F8" s="85" t="s">
        <v>230</v>
      </c>
      <c r="G8" s="86" t="s">
        <v>226</v>
      </c>
      <c r="H8" s="86" t="s">
        <v>227</v>
      </c>
      <c r="I8" s="65">
        <v>684159</v>
      </c>
      <c r="J8" s="65">
        <v>0</v>
      </c>
      <c r="K8" s="65">
        <v>0</v>
      </c>
      <c r="L8" s="87">
        <v>4597</v>
      </c>
      <c r="M8" s="65"/>
      <c r="N8" s="93">
        <f t="shared" si="0"/>
        <v>679562</v>
      </c>
      <c r="O8" s="93">
        <v>0</v>
      </c>
      <c r="P8" s="93">
        <f t="shared" si="1"/>
        <v>679562</v>
      </c>
      <c r="Q8" s="95">
        <v>0</v>
      </c>
      <c r="R8" s="95">
        <v>2500</v>
      </c>
      <c r="S8" s="96">
        <f t="shared" si="7"/>
        <v>2500</v>
      </c>
      <c r="T8" s="95">
        <f t="shared" si="8"/>
        <v>677062</v>
      </c>
      <c r="U8" s="97">
        <v>0</v>
      </c>
      <c r="V8" s="93">
        <f t="shared" si="9"/>
        <v>677062</v>
      </c>
      <c r="W8" s="93"/>
      <c r="X8" s="97">
        <v>150000</v>
      </c>
      <c r="Y8" s="97"/>
      <c r="Z8" s="93">
        <v>0</v>
      </c>
      <c r="AA8" s="87">
        <v>5692</v>
      </c>
      <c r="AB8" s="87"/>
      <c r="AC8" s="87">
        <f t="shared" si="10"/>
        <v>155692</v>
      </c>
      <c r="AD8" s="87">
        <f t="shared" si="11"/>
        <v>521370</v>
      </c>
      <c r="AE8" s="98">
        <f t="shared" si="6"/>
        <v>16774</v>
      </c>
      <c r="AF8" s="87">
        <v>0</v>
      </c>
      <c r="AG8" s="90">
        <v>503.22</v>
      </c>
      <c r="AH8" s="89">
        <v>0</v>
      </c>
      <c r="AI8" s="89">
        <f>ROUNDUP((AE8+AG8),0)</f>
        <v>17278</v>
      </c>
      <c r="AJ8" s="89">
        <v>17278</v>
      </c>
      <c r="AK8" s="89">
        <v>0</v>
      </c>
      <c r="AL8" s="89">
        <f t="shared" si="12"/>
        <v>17278</v>
      </c>
      <c r="AM8" s="65">
        <f t="shared" si="13"/>
        <v>0</v>
      </c>
      <c r="AN8" s="75" t="s">
        <v>228</v>
      </c>
    </row>
    <row r="9" spans="1:73" ht="12.75" customHeight="1" x14ac:dyDescent="0.2">
      <c r="A9" s="82"/>
      <c r="B9" s="91" t="s">
        <v>175</v>
      </c>
      <c r="C9" s="91">
        <v>14014</v>
      </c>
      <c r="D9" s="92" t="s">
        <v>225</v>
      </c>
      <c r="E9" s="85" t="s">
        <v>229</v>
      </c>
      <c r="F9" s="99" t="s">
        <v>230</v>
      </c>
      <c r="G9" s="86" t="s">
        <v>226</v>
      </c>
      <c r="H9" s="86" t="s">
        <v>227</v>
      </c>
      <c r="I9" s="65">
        <v>512643</v>
      </c>
      <c r="J9" s="65">
        <v>0</v>
      </c>
      <c r="K9" s="65">
        <v>0</v>
      </c>
      <c r="L9" s="87">
        <v>1500</v>
      </c>
      <c r="M9" s="65"/>
      <c r="N9" s="93">
        <f t="shared" si="0"/>
        <v>511143</v>
      </c>
      <c r="O9" s="93">
        <v>0</v>
      </c>
      <c r="P9" s="93">
        <f t="shared" si="1"/>
        <v>511143</v>
      </c>
      <c r="Q9" s="95">
        <v>0</v>
      </c>
      <c r="R9" s="95">
        <v>2500</v>
      </c>
      <c r="S9" s="96">
        <f>Q9+R9</f>
        <v>2500</v>
      </c>
      <c r="T9" s="95">
        <f>P9-S9</f>
        <v>508643</v>
      </c>
      <c r="U9" s="97">
        <v>-47756</v>
      </c>
      <c r="V9" s="93">
        <f>T9+U9</f>
        <v>460887</v>
      </c>
      <c r="W9" s="93"/>
      <c r="X9" s="97">
        <v>150000</v>
      </c>
      <c r="Y9" s="97"/>
      <c r="Z9" s="93">
        <v>0</v>
      </c>
      <c r="AA9" s="87">
        <v>500</v>
      </c>
      <c r="AB9" s="87"/>
      <c r="AC9" s="87">
        <f>X9+AA9</f>
        <v>150500</v>
      </c>
      <c r="AD9" s="87">
        <f>ROUND((V9-AC9),-1)</f>
        <v>310390</v>
      </c>
      <c r="AE9" s="98">
        <f t="shared" si="6"/>
        <v>519.5</v>
      </c>
      <c r="AF9" s="87">
        <v>0</v>
      </c>
      <c r="AG9" s="90">
        <f>AE9*3%</f>
        <v>15.584999999999999</v>
      </c>
      <c r="AH9" s="89">
        <v>0</v>
      </c>
      <c r="AI9" s="89">
        <f>ROUNDUP((AE9+AG9),0)</f>
        <v>536</v>
      </c>
      <c r="AJ9" s="89">
        <v>536</v>
      </c>
      <c r="AK9" s="89">
        <v>0</v>
      </c>
      <c r="AL9" s="89">
        <f t="shared" si="12"/>
        <v>536</v>
      </c>
      <c r="AM9" s="65">
        <f t="shared" si="13"/>
        <v>0</v>
      </c>
      <c r="AN9" s="75" t="s">
        <v>228</v>
      </c>
    </row>
    <row r="10" spans="1:73" s="108" customFormat="1" ht="12.75" customHeight="1" x14ac:dyDescent="0.2">
      <c r="A10" s="100"/>
      <c r="B10" s="123" t="s">
        <v>131</v>
      </c>
      <c r="C10" s="83">
        <v>14015</v>
      </c>
      <c r="D10" s="84" t="s">
        <v>181</v>
      </c>
      <c r="E10" s="100" t="s">
        <v>255</v>
      </c>
      <c r="F10" s="100" t="s">
        <v>230</v>
      </c>
      <c r="G10" s="101" t="s">
        <v>226</v>
      </c>
      <c r="H10" s="101" t="s">
        <v>227</v>
      </c>
      <c r="I10" s="102">
        <v>267859</v>
      </c>
      <c r="J10" s="102">
        <v>0</v>
      </c>
      <c r="K10" s="102">
        <v>0</v>
      </c>
      <c r="L10" s="102">
        <v>2700</v>
      </c>
      <c r="M10" s="102"/>
      <c r="N10" s="93">
        <f t="shared" si="0"/>
        <v>265159</v>
      </c>
      <c r="O10" s="93">
        <v>0</v>
      </c>
      <c r="P10" s="93">
        <f t="shared" si="1"/>
        <v>265159</v>
      </c>
      <c r="Q10" s="104">
        <v>0</v>
      </c>
      <c r="R10" s="104">
        <v>2500</v>
      </c>
      <c r="S10" s="104">
        <f t="shared" ref="S10:S53" si="14">Q10+R10</f>
        <v>2500</v>
      </c>
      <c r="T10" s="104">
        <f t="shared" ref="T10:T53" si="15">P10-S10</f>
        <v>262659</v>
      </c>
      <c r="U10" s="102"/>
      <c r="V10" s="103">
        <v>267859</v>
      </c>
      <c r="W10" s="102"/>
      <c r="X10" s="103">
        <v>150000</v>
      </c>
      <c r="Y10" s="103"/>
      <c r="Z10" s="103">
        <v>0</v>
      </c>
      <c r="AA10" s="102">
        <v>500</v>
      </c>
      <c r="AB10" s="102"/>
      <c r="AC10" s="102">
        <f t="shared" ref="AC10:AC53" si="16">X10+AA10</f>
        <v>150500</v>
      </c>
      <c r="AD10" s="102">
        <f t="shared" ref="AD10:AD53" si="17">ROUND((V10-AC10),-1)</f>
        <v>117360</v>
      </c>
      <c r="AE10" s="98">
        <f t="shared" si="6"/>
        <v>0</v>
      </c>
      <c r="AF10" s="102">
        <v>0</v>
      </c>
      <c r="AG10" s="105">
        <f t="shared" ref="AG10:AG53" si="18">AE10*3%</f>
        <v>0</v>
      </c>
      <c r="AH10" s="106">
        <v>0</v>
      </c>
      <c r="AI10" s="106">
        <f t="shared" ref="AI10:AI53" si="19">ROUNDUP((AE10+AG10),0)</f>
        <v>0</v>
      </c>
      <c r="AJ10" s="106">
        <v>21748</v>
      </c>
      <c r="AK10" s="106">
        <v>0</v>
      </c>
      <c r="AL10" s="106">
        <v>0</v>
      </c>
      <c r="AM10" s="102">
        <f t="shared" si="13"/>
        <v>0</v>
      </c>
      <c r="AN10" s="107" t="s">
        <v>228</v>
      </c>
      <c r="AO10" s="107"/>
      <c r="AP10" s="107"/>
      <c r="AQ10" s="107"/>
      <c r="AR10" s="102"/>
    </row>
    <row r="11" spans="1:73" s="122" customFormat="1" ht="12.75" customHeight="1" x14ac:dyDescent="0.2">
      <c r="A11" s="109"/>
      <c r="B11" s="110" t="s">
        <v>167</v>
      </c>
      <c r="C11" s="110">
        <v>14016</v>
      </c>
      <c r="D11" s="111" t="s">
        <v>217</v>
      </c>
      <c r="E11" s="109" t="s">
        <v>234</v>
      </c>
      <c r="F11" s="112" t="s">
        <v>230</v>
      </c>
      <c r="G11" s="113" t="s">
        <v>226</v>
      </c>
      <c r="H11" s="113" t="s">
        <v>227</v>
      </c>
      <c r="I11" s="114">
        <v>1003513</v>
      </c>
      <c r="J11" s="114">
        <v>0</v>
      </c>
      <c r="K11" s="114">
        <v>0</v>
      </c>
      <c r="L11" s="114">
        <v>1500</v>
      </c>
      <c r="M11" s="114"/>
      <c r="N11" s="115">
        <f t="shared" si="0"/>
        <v>1002013</v>
      </c>
      <c r="O11" s="115">
        <v>0</v>
      </c>
      <c r="P11" s="115">
        <f t="shared" si="1"/>
        <v>1002013</v>
      </c>
      <c r="Q11" s="116">
        <v>0</v>
      </c>
      <c r="R11" s="116">
        <v>2500</v>
      </c>
      <c r="S11" s="116">
        <f t="shared" si="14"/>
        <v>2500</v>
      </c>
      <c r="T11" s="116">
        <f t="shared" si="15"/>
        <v>999513</v>
      </c>
      <c r="U11" s="114">
        <v>-200000</v>
      </c>
      <c r="V11" s="115">
        <f t="shared" ref="V11:V53" si="20">T11+U11</f>
        <v>799513</v>
      </c>
      <c r="W11" s="114"/>
      <c r="X11" s="115">
        <v>150000</v>
      </c>
      <c r="Y11" s="115"/>
      <c r="Z11" s="115">
        <v>0</v>
      </c>
      <c r="AA11" s="114">
        <v>0</v>
      </c>
      <c r="AB11" s="114"/>
      <c r="AC11" s="114">
        <f t="shared" si="16"/>
        <v>150000</v>
      </c>
      <c r="AD11" s="114">
        <f t="shared" si="17"/>
        <v>649510</v>
      </c>
      <c r="AE11" s="117">
        <f t="shared" si="6"/>
        <v>42402</v>
      </c>
      <c r="AF11" s="114">
        <v>0</v>
      </c>
      <c r="AG11" s="118">
        <f t="shared" si="18"/>
        <v>1272.06</v>
      </c>
      <c r="AH11" s="119">
        <v>0</v>
      </c>
      <c r="AI11" s="119">
        <f t="shared" si="19"/>
        <v>43675</v>
      </c>
      <c r="AJ11" s="120">
        <v>28315</v>
      </c>
      <c r="AK11" s="119">
        <f>43675-AJ11</f>
        <v>15360</v>
      </c>
      <c r="AL11" s="119">
        <f>AJ11+AK11</f>
        <v>43675</v>
      </c>
      <c r="AM11" s="114">
        <f>AI11-AL11</f>
        <v>0</v>
      </c>
      <c r="AN11" s="121" t="s">
        <v>228</v>
      </c>
      <c r="AO11" s="121"/>
      <c r="AP11" s="121"/>
      <c r="AQ11" s="121"/>
      <c r="AR11" s="114"/>
    </row>
    <row r="12" spans="1:73" ht="12.75" customHeight="1" x14ac:dyDescent="0.2">
      <c r="A12" s="82"/>
      <c r="B12" s="91" t="s">
        <v>132</v>
      </c>
      <c r="C12" s="91">
        <v>14017</v>
      </c>
      <c r="D12" s="92" t="s">
        <v>182</v>
      </c>
      <c r="E12" s="85" t="s">
        <v>235</v>
      </c>
      <c r="F12" s="99" t="s">
        <v>230</v>
      </c>
      <c r="G12" s="86" t="s">
        <v>226</v>
      </c>
      <c r="H12" s="86" t="s">
        <v>227</v>
      </c>
      <c r="I12" s="65">
        <v>485276</v>
      </c>
      <c r="J12" s="65">
        <v>0</v>
      </c>
      <c r="K12" s="65">
        <v>0</v>
      </c>
      <c r="L12" s="87">
        <v>1500</v>
      </c>
      <c r="M12" s="65"/>
      <c r="N12" s="93">
        <f t="shared" si="0"/>
        <v>483776</v>
      </c>
      <c r="O12" s="93">
        <v>0</v>
      </c>
      <c r="P12" s="93">
        <f t="shared" si="1"/>
        <v>483776</v>
      </c>
      <c r="Q12" s="95">
        <v>0</v>
      </c>
      <c r="R12" s="95">
        <v>2500</v>
      </c>
      <c r="S12" s="96">
        <f t="shared" si="14"/>
        <v>2500</v>
      </c>
      <c r="T12" s="95">
        <f t="shared" si="15"/>
        <v>481276</v>
      </c>
      <c r="U12" s="65"/>
      <c r="V12" s="93">
        <f t="shared" si="20"/>
        <v>481276</v>
      </c>
      <c r="W12" s="87"/>
      <c r="X12" s="97">
        <v>135376</v>
      </c>
      <c r="Y12" s="97"/>
      <c r="Z12" s="93">
        <v>0</v>
      </c>
      <c r="AA12" s="87">
        <v>500</v>
      </c>
      <c r="AB12" s="87"/>
      <c r="AC12" s="87">
        <f t="shared" si="16"/>
        <v>135876</v>
      </c>
      <c r="AD12" s="87">
        <f t="shared" si="17"/>
        <v>345400</v>
      </c>
      <c r="AE12" s="98">
        <f t="shared" si="6"/>
        <v>2270</v>
      </c>
      <c r="AF12" s="87">
        <v>0</v>
      </c>
      <c r="AG12" s="90">
        <f t="shared" si="18"/>
        <v>68.099999999999994</v>
      </c>
      <c r="AH12" s="89">
        <v>0</v>
      </c>
      <c r="AI12" s="89">
        <f t="shared" si="19"/>
        <v>2339</v>
      </c>
      <c r="AJ12" s="89">
        <v>2339</v>
      </c>
      <c r="AK12" s="89">
        <v>0</v>
      </c>
      <c r="AL12" s="89">
        <f t="shared" si="12"/>
        <v>2339</v>
      </c>
      <c r="AM12" s="65">
        <f t="shared" si="13"/>
        <v>0</v>
      </c>
      <c r="AN12" s="75" t="s">
        <v>228</v>
      </c>
    </row>
    <row r="13" spans="1:73" s="108" customFormat="1" ht="12.75" customHeight="1" x14ac:dyDescent="0.2">
      <c r="A13" s="100"/>
      <c r="B13" s="123" t="s">
        <v>133</v>
      </c>
      <c r="C13" s="83">
        <v>14033</v>
      </c>
      <c r="D13" s="84" t="s">
        <v>183</v>
      </c>
      <c r="E13" s="100" t="s">
        <v>242</v>
      </c>
      <c r="F13" s="100" t="s">
        <v>232</v>
      </c>
      <c r="G13" s="101" t="s">
        <v>226</v>
      </c>
      <c r="H13" s="101" t="s">
        <v>227</v>
      </c>
      <c r="I13" s="102">
        <v>458752</v>
      </c>
      <c r="J13" s="102">
        <v>0</v>
      </c>
      <c r="K13" s="102">
        <v>0</v>
      </c>
      <c r="L13" s="102">
        <v>2325</v>
      </c>
      <c r="M13" s="102"/>
      <c r="N13" s="103">
        <f t="shared" si="0"/>
        <v>456427</v>
      </c>
      <c r="O13" s="103">
        <v>0</v>
      </c>
      <c r="P13" s="103">
        <f t="shared" si="1"/>
        <v>456427</v>
      </c>
      <c r="Q13" s="104">
        <v>0</v>
      </c>
      <c r="R13" s="104">
        <v>2500</v>
      </c>
      <c r="S13" s="104">
        <f t="shared" si="14"/>
        <v>2500</v>
      </c>
      <c r="T13" s="104">
        <f t="shared" si="15"/>
        <v>453927</v>
      </c>
      <c r="U13" s="102"/>
      <c r="V13" s="103">
        <f t="shared" si="20"/>
        <v>453927</v>
      </c>
      <c r="W13" s="102"/>
      <c r="X13" s="103">
        <v>150000</v>
      </c>
      <c r="Y13" s="103"/>
      <c r="Z13" s="103">
        <v>0</v>
      </c>
      <c r="AA13" s="102">
        <v>500</v>
      </c>
      <c r="AB13" s="102"/>
      <c r="AC13" s="102">
        <f t="shared" si="16"/>
        <v>150500</v>
      </c>
      <c r="AD13" s="102">
        <f t="shared" si="17"/>
        <v>303430</v>
      </c>
      <c r="AE13" s="137">
        <f t="shared" si="6"/>
        <v>171.5</v>
      </c>
      <c r="AF13" s="102">
        <v>0</v>
      </c>
      <c r="AG13" s="105">
        <f t="shared" si="18"/>
        <v>5.1449999999999996</v>
      </c>
      <c r="AH13" s="106">
        <v>0</v>
      </c>
      <c r="AI13" s="106">
        <f t="shared" si="19"/>
        <v>177</v>
      </c>
      <c r="AJ13" s="106">
        <v>52542</v>
      </c>
      <c r="AK13" s="106">
        <v>0</v>
      </c>
      <c r="AL13" s="106">
        <f t="shared" si="12"/>
        <v>52542</v>
      </c>
      <c r="AM13" s="102">
        <f t="shared" si="13"/>
        <v>-52365</v>
      </c>
      <c r="AN13" s="107" t="s">
        <v>228</v>
      </c>
      <c r="AO13" s="107"/>
      <c r="AP13" s="107"/>
      <c r="AQ13" s="107"/>
      <c r="AR13" s="102"/>
    </row>
    <row r="14" spans="1:73" ht="12.75" customHeight="1" x14ac:dyDescent="0.2">
      <c r="A14" s="82"/>
      <c r="B14" s="91" t="s">
        <v>134</v>
      </c>
      <c r="C14" s="91">
        <v>14035</v>
      </c>
      <c r="D14" s="92" t="s">
        <v>184</v>
      </c>
      <c r="E14" s="85" t="s">
        <v>236</v>
      </c>
      <c r="F14" s="99" t="s">
        <v>232</v>
      </c>
      <c r="G14" s="86" t="s">
        <v>226</v>
      </c>
      <c r="H14" s="86" t="s">
        <v>227</v>
      </c>
      <c r="I14" s="65">
        <v>708258</v>
      </c>
      <c r="J14" s="65">
        <v>0</v>
      </c>
      <c r="K14" s="65">
        <v>0</v>
      </c>
      <c r="L14" s="87">
        <v>6113</v>
      </c>
      <c r="M14" s="65"/>
      <c r="N14" s="93">
        <f t="shared" ref="N14:N53" si="21">I14+J14+K14-L14</f>
        <v>702145</v>
      </c>
      <c r="O14" s="93">
        <v>0</v>
      </c>
      <c r="P14" s="93">
        <f t="shared" si="1"/>
        <v>702145</v>
      </c>
      <c r="Q14" s="95">
        <v>0</v>
      </c>
      <c r="R14" s="95">
        <v>2500</v>
      </c>
      <c r="S14" s="96">
        <f t="shared" si="14"/>
        <v>2500</v>
      </c>
      <c r="T14" s="95">
        <f t="shared" si="15"/>
        <v>699645</v>
      </c>
      <c r="U14" s="65">
        <v>-111520</v>
      </c>
      <c r="V14" s="93">
        <f t="shared" si="20"/>
        <v>588125</v>
      </c>
      <c r="W14" s="87"/>
      <c r="X14" s="97">
        <v>150000</v>
      </c>
      <c r="Y14" s="97"/>
      <c r="Z14" s="93">
        <v>0</v>
      </c>
      <c r="AA14" s="87">
        <v>500</v>
      </c>
      <c r="AB14" s="87"/>
      <c r="AC14" s="87">
        <f t="shared" si="16"/>
        <v>150500</v>
      </c>
      <c r="AD14" s="87">
        <f t="shared" si="17"/>
        <v>437630</v>
      </c>
      <c r="AE14" s="98">
        <f t="shared" si="6"/>
        <v>9381.5</v>
      </c>
      <c r="AF14" s="87">
        <v>0</v>
      </c>
      <c r="AG14" s="90">
        <f t="shared" si="18"/>
        <v>281.44499999999999</v>
      </c>
      <c r="AH14" s="89">
        <v>0</v>
      </c>
      <c r="AI14" s="89">
        <f t="shared" si="19"/>
        <v>9663</v>
      </c>
      <c r="AJ14" s="89">
        <v>9663</v>
      </c>
      <c r="AK14" s="89">
        <v>0</v>
      </c>
      <c r="AL14" s="89">
        <f t="shared" si="12"/>
        <v>9663</v>
      </c>
      <c r="AM14" s="65">
        <f t="shared" si="13"/>
        <v>0</v>
      </c>
      <c r="AN14" s="75" t="s">
        <v>228</v>
      </c>
    </row>
    <row r="15" spans="1:73" ht="12.75" customHeight="1" x14ac:dyDescent="0.2">
      <c r="A15" s="82"/>
      <c r="B15" s="91" t="s">
        <v>135</v>
      </c>
      <c r="C15" s="91">
        <v>14037</v>
      </c>
      <c r="D15" s="92" t="s">
        <v>185</v>
      </c>
      <c r="E15" s="85" t="s">
        <v>236</v>
      </c>
      <c r="F15" s="99" t="s">
        <v>232</v>
      </c>
      <c r="G15" s="86" t="s">
        <v>226</v>
      </c>
      <c r="H15" s="86" t="s">
        <v>227</v>
      </c>
      <c r="I15" s="65">
        <v>817591</v>
      </c>
      <c r="J15" s="65">
        <v>0</v>
      </c>
      <c r="K15" s="65">
        <v>0</v>
      </c>
      <c r="L15" s="87">
        <v>1338</v>
      </c>
      <c r="M15" s="65"/>
      <c r="N15" s="93">
        <f t="shared" si="21"/>
        <v>816253</v>
      </c>
      <c r="O15" s="93">
        <v>0</v>
      </c>
      <c r="P15" s="93">
        <f t="shared" ref="P15:P53" si="22">N15+O15</f>
        <v>816253</v>
      </c>
      <c r="Q15" s="95">
        <v>0</v>
      </c>
      <c r="R15" s="95">
        <v>2500</v>
      </c>
      <c r="S15" s="96">
        <f t="shared" si="14"/>
        <v>2500</v>
      </c>
      <c r="T15" s="95">
        <f t="shared" si="15"/>
        <v>813753</v>
      </c>
      <c r="U15" s="65"/>
      <c r="V15" s="93">
        <f t="shared" si="20"/>
        <v>813753</v>
      </c>
      <c r="W15" s="87"/>
      <c r="X15" s="97">
        <v>129890</v>
      </c>
      <c r="Y15" s="97"/>
      <c r="Z15" s="93">
        <v>0</v>
      </c>
      <c r="AA15" s="87">
        <v>500</v>
      </c>
      <c r="AB15" s="87"/>
      <c r="AC15" s="87">
        <f t="shared" si="16"/>
        <v>130390</v>
      </c>
      <c r="AD15" s="87">
        <f t="shared" si="17"/>
        <v>683360</v>
      </c>
      <c r="AE15" s="98">
        <f t="shared" si="6"/>
        <v>49172</v>
      </c>
      <c r="AF15" s="87">
        <v>0</v>
      </c>
      <c r="AG15" s="90">
        <f t="shared" si="18"/>
        <v>1475.1599999999999</v>
      </c>
      <c r="AH15" s="89">
        <v>0</v>
      </c>
      <c r="AI15" s="89">
        <f t="shared" si="19"/>
        <v>50648</v>
      </c>
      <c r="AJ15" s="89">
        <v>50648</v>
      </c>
      <c r="AK15" s="89">
        <v>0</v>
      </c>
      <c r="AL15" s="89">
        <f t="shared" si="12"/>
        <v>50648</v>
      </c>
      <c r="AM15" s="65">
        <f t="shared" si="13"/>
        <v>0</v>
      </c>
      <c r="AN15" s="75" t="s">
        <v>228</v>
      </c>
    </row>
    <row r="16" spans="1:73" ht="12.75" customHeight="1" x14ac:dyDescent="0.2">
      <c r="A16" s="82"/>
      <c r="B16" s="91" t="s">
        <v>136</v>
      </c>
      <c r="C16" s="91">
        <v>14050</v>
      </c>
      <c r="D16" s="92" t="s">
        <v>186</v>
      </c>
      <c r="E16" s="85" t="s">
        <v>235</v>
      </c>
      <c r="F16" s="99" t="s">
        <v>232</v>
      </c>
      <c r="G16" s="86" t="s">
        <v>226</v>
      </c>
      <c r="H16" s="86" t="s">
        <v>227</v>
      </c>
      <c r="I16" s="65">
        <v>451072.2</v>
      </c>
      <c r="J16" s="65">
        <v>63734.85</v>
      </c>
      <c r="K16" s="65">
        <v>0</v>
      </c>
      <c r="L16" s="87">
        <v>5979</v>
      </c>
      <c r="M16" s="65"/>
      <c r="N16" s="93">
        <f t="shared" si="21"/>
        <v>508828.05</v>
      </c>
      <c r="O16" s="93">
        <v>0</v>
      </c>
      <c r="P16" s="93">
        <f t="shared" si="22"/>
        <v>508828.05</v>
      </c>
      <c r="Q16" s="95">
        <v>0</v>
      </c>
      <c r="R16" s="95">
        <v>2500</v>
      </c>
      <c r="S16" s="96">
        <f t="shared" si="14"/>
        <v>2500</v>
      </c>
      <c r="T16" s="95">
        <f t="shared" si="15"/>
        <v>506328.05</v>
      </c>
      <c r="U16" s="65"/>
      <c r="V16" s="93">
        <f t="shared" si="20"/>
        <v>506328.05</v>
      </c>
      <c r="W16" s="87"/>
      <c r="X16" s="97">
        <v>74783</v>
      </c>
      <c r="Y16" s="97"/>
      <c r="Z16" s="93">
        <v>0</v>
      </c>
      <c r="AA16" s="87">
        <v>500</v>
      </c>
      <c r="AB16" s="87"/>
      <c r="AC16" s="87">
        <f t="shared" si="16"/>
        <v>75283</v>
      </c>
      <c r="AD16" s="87">
        <f t="shared" si="17"/>
        <v>431050</v>
      </c>
      <c r="AE16" s="98">
        <f t="shared" si="6"/>
        <v>9052.5</v>
      </c>
      <c r="AF16" s="87">
        <v>0</v>
      </c>
      <c r="AG16" s="90">
        <f t="shared" si="18"/>
        <v>271.57499999999999</v>
      </c>
      <c r="AH16" s="89">
        <v>0</v>
      </c>
      <c r="AI16" s="89">
        <f t="shared" si="19"/>
        <v>9325</v>
      </c>
      <c r="AJ16" s="89">
        <f>6933+3348</f>
        <v>10281</v>
      </c>
      <c r="AK16" s="89">
        <v>0</v>
      </c>
      <c r="AL16" s="89">
        <f t="shared" si="12"/>
        <v>10281</v>
      </c>
      <c r="AM16" s="65">
        <f t="shared" si="13"/>
        <v>-956</v>
      </c>
      <c r="AN16" s="75" t="s">
        <v>228</v>
      </c>
    </row>
    <row r="17" spans="1:44" ht="12.75" customHeight="1" x14ac:dyDescent="0.2">
      <c r="A17" s="82"/>
      <c r="B17" s="91" t="s">
        <v>137</v>
      </c>
      <c r="C17" s="91">
        <v>14057</v>
      </c>
      <c r="D17" s="92" t="s">
        <v>187</v>
      </c>
      <c r="E17" s="85" t="s">
        <v>237</v>
      </c>
      <c r="F17" s="99" t="s">
        <v>232</v>
      </c>
      <c r="G17" s="86" t="s">
        <v>226</v>
      </c>
      <c r="H17" s="86" t="s">
        <v>227</v>
      </c>
      <c r="I17" s="65">
        <v>374999</v>
      </c>
      <c r="J17" s="65">
        <v>0</v>
      </c>
      <c r="K17" s="65">
        <v>0</v>
      </c>
      <c r="L17" s="87">
        <v>2430</v>
      </c>
      <c r="M17" s="65"/>
      <c r="N17" s="93">
        <f t="shared" si="21"/>
        <v>372569</v>
      </c>
      <c r="O17" s="93">
        <v>0</v>
      </c>
      <c r="P17" s="93">
        <f t="shared" si="22"/>
        <v>372569</v>
      </c>
      <c r="Q17" s="95">
        <v>0</v>
      </c>
      <c r="R17" s="95">
        <v>1200</v>
      </c>
      <c r="S17" s="96">
        <f t="shared" si="14"/>
        <v>1200</v>
      </c>
      <c r="T17" s="95">
        <f t="shared" si="15"/>
        <v>371369</v>
      </c>
      <c r="U17" s="65"/>
      <c r="V17" s="93">
        <f t="shared" si="20"/>
        <v>371369</v>
      </c>
      <c r="W17" s="87"/>
      <c r="X17" s="97">
        <v>68715</v>
      </c>
      <c r="Y17" s="97"/>
      <c r="Z17" s="93">
        <v>0</v>
      </c>
      <c r="AA17" s="87">
        <v>0</v>
      </c>
      <c r="AB17" s="87"/>
      <c r="AC17" s="87">
        <f t="shared" si="16"/>
        <v>68715</v>
      </c>
      <c r="AD17" s="87">
        <f t="shared" si="17"/>
        <v>302650</v>
      </c>
      <c r="AE17" s="98">
        <f t="shared" si="6"/>
        <v>132.5</v>
      </c>
      <c r="AF17" s="87">
        <v>0</v>
      </c>
      <c r="AG17" s="90">
        <f t="shared" si="18"/>
        <v>3.9749999999999996</v>
      </c>
      <c r="AH17" s="89">
        <v>0</v>
      </c>
      <c r="AI17" s="89">
        <f t="shared" si="19"/>
        <v>137</v>
      </c>
      <c r="AJ17" s="89">
        <v>12623</v>
      </c>
      <c r="AK17" s="89">
        <v>0</v>
      </c>
      <c r="AL17" s="89">
        <f t="shared" si="12"/>
        <v>12623</v>
      </c>
      <c r="AM17" s="65">
        <f t="shared" si="13"/>
        <v>-12486</v>
      </c>
      <c r="AN17" s="75" t="s">
        <v>228</v>
      </c>
    </row>
    <row r="18" spans="1:44" ht="12.75" customHeight="1" x14ac:dyDescent="0.2">
      <c r="A18" s="82"/>
      <c r="B18" s="91" t="s">
        <v>138</v>
      </c>
      <c r="C18" s="91">
        <v>14067</v>
      </c>
      <c r="D18" s="92" t="s">
        <v>188</v>
      </c>
      <c r="E18" s="85" t="s">
        <v>237</v>
      </c>
      <c r="F18" s="99" t="s">
        <v>232</v>
      </c>
      <c r="G18" s="86" t="s">
        <v>226</v>
      </c>
      <c r="H18" s="86" t="s">
        <v>227</v>
      </c>
      <c r="I18" s="65">
        <v>704274</v>
      </c>
      <c r="J18" s="65">
        <v>49860.15</v>
      </c>
      <c r="K18" s="65">
        <v>0</v>
      </c>
      <c r="L18" s="87">
        <v>3900</v>
      </c>
      <c r="M18" s="65"/>
      <c r="N18" s="93">
        <f t="shared" si="21"/>
        <v>750234.15</v>
      </c>
      <c r="O18" s="93">
        <v>0</v>
      </c>
      <c r="P18" s="93">
        <f t="shared" si="22"/>
        <v>750234.15</v>
      </c>
      <c r="Q18" s="95">
        <v>0</v>
      </c>
      <c r="R18" s="95">
        <v>2500</v>
      </c>
      <c r="S18" s="96">
        <f t="shared" si="14"/>
        <v>2500</v>
      </c>
      <c r="T18" s="95">
        <f t="shared" si="15"/>
        <v>747734.15</v>
      </c>
      <c r="U18" s="65"/>
      <c r="V18" s="93">
        <f t="shared" si="20"/>
        <v>747734.15</v>
      </c>
      <c r="W18" s="87"/>
      <c r="X18" s="97">
        <v>150000</v>
      </c>
      <c r="Y18" s="97"/>
      <c r="Z18" s="93">
        <v>0</v>
      </c>
      <c r="AA18" s="87">
        <v>500</v>
      </c>
      <c r="AB18" s="87"/>
      <c r="AC18" s="87">
        <f t="shared" si="16"/>
        <v>150500</v>
      </c>
      <c r="AD18" s="87">
        <f t="shared" si="17"/>
        <v>597230</v>
      </c>
      <c r="AE18" s="98">
        <f t="shared" si="6"/>
        <v>31946</v>
      </c>
      <c r="AF18" s="87">
        <v>0</v>
      </c>
      <c r="AG18" s="90">
        <f t="shared" si="18"/>
        <v>958.38</v>
      </c>
      <c r="AH18" s="89">
        <v>0</v>
      </c>
      <c r="AI18" s="89">
        <f t="shared" si="19"/>
        <v>32905</v>
      </c>
      <c r="AJ18" s="96">
        <f>26440+10448</f>
        <v>36888</v>
      </c>
      <c r="AK18" s="89">
        <v>0</v>
      </c>
      <c r="AL18" s="89">
        <f t="shared" si="12"/>
        <v>36888</v>
      </c>
      <c r="AM18" s="65">
        <f t="shared" si="13"/>
        <v>-3983</v>
      </c>
      <c r="AN18" s="75" t="s">
        <v>228</v>
      </c>
    </row>
    <row r="19" spans="1:44" ht="12.75" customHeight="1" x14ac:dyDescent="0.2">
      <c r="A19" s="82"/>
      <c r="B19" s="91" t="s">
        <v>164</v>
      </c>
      <c r="C19" s="91">
        <v>14069</v>
      </c>
      <c r="D19" s="92" t="s">
        <v>214</v>
      </c>
      <c r="E19" s="85" t="s">
        <v>238</v>
      </c>
      <c r="F19" s="99" t="s">
        <v>232</v>
      </c>
      <c r="G19" s="86" t="s">
        <v>226</v>
      </c>
      <c r="H19" s="86" t="s">
        <v>227</v>
      </c>
      <c r="I19" s="65">
        <v>486573</v>
      </c>
      <c r="J19" s="65">
        <v>0</v>
      </c>
      <c r="K19" s="65">
        <v>0</v>
      </c>
      <c r="L19" s="87">
        <v>1104</v>
      </c>
      <c r="M19" s="65"/>
      <c r="N19" s="93">
        <f t="shared" si="21"/>
        <v>485469</v>
      </c>
      <c r="O19" s="93">
        <v>0</v>
      </c>
      <c r="P19" s="93">
        <f t="shared" si="22"/>
        <v>485469</v>
      </c>
      <c r="Q19" s="95">
        <v>0</v>
      </c>
      <c r="R19" s="95">
        <v>2500</v>
      </c>
      <c r="S19" s="96">
        <f t="shared" si="14"/>
        <v>2500</v>
      </c>
      <c r="T19" s="95">
        <f t="shared" si="15"/>
        <v>482969</v>
      </c>
      <c r="U19" s="65"/>
      <c r="V19" s="93">
        <f t="shared" si="20"/>
        <v>482969</v>
      </c>
      <c r="W19" s="87"/>
      <c r="X19" s="97">
        <v>48142</v>
      </c>
      <c r="Y19" s="97"/>
      <c r="Z19" s="93">
        <v>0</v>
      </c>
      <c r="AA19" s="87">
        <v>500</v>
      </c>
      <c r="AB19" s="87"/>
      <c r="AC19" s="87">
        <f t="shared" si="16"/>
        <v>48642</v>
      </c>
      <c r="AD19" s="87">
        <f t="shared" si="17"/>
        <v>434330</v>
      </c>
      <c r="AE19" s="98">
        <f t="shared" si="6"/>
        <v>9216.5</v>
      </c>
      <c r="AF19" s="87">
        <v>0</v>
      </c>
      <c r="AG19" s="90">
        <f t="shared" si="18"/>
        <v>276.495</v>
      </c>
      <c r="AH19" s="89">
        <v>0</v>
      </c>
      <c r="AI19" s="89">
        <f t="shared" si="19"/>
        <v>9493</v>
      </c>
      <c r="AJ19" s="89">
        <v>9493</v>
      </c>
      <c r="AK19" s="89">
        <v>0</v>
      </c>
      <c r="AL19" s="89">
        <f t="shared" si="12"/>
        <v>9493</v>
      </c>
      <c r="AM19" s="65">
        <f t="shared" si="13"/>
        <v>0</v>
      </c>
      <c r="AN19" s="75" t="s">
        <v>228</v>
      </c>
    </row>
    <row r="20" spans="1:44" ht="12.75" customHeight="1" x14ac:dyDescent="0.2">
      <c r="A20" s="82"/>
      <c r="B20" s="91" t="s">
        <v>139</v>
      </c>
      <c r="C20" s="91">
        <v>14073</v>
      </c>
      <c r="D20" s="92" t="s">
        <v>189</v>
      </c>
      <c r="E20" s="85" t="s">
        <v>239</v>
      </c>
      <c r="F20" s="99" t="s">
        <v>232</v>
      </c>
      <c r="G20" s="86" t="s">
        <v>226</v>
      </c>
      <c r="H20" s="86" t="s">
        <v>227</v>
      </c>
      <c r="I20" s="65">
        <v>1049154</v>
      </c>
      <c r="J20" s="65">
        <v>0</v>
      </c>
      <c r="K20" s="65">
        <v>0</v>
      </c>
      <c r="L20" s="87">
        <v>0</v>
      </c>
      <c r="M20" s="65"/>
      <c r="N20" s="93">
        <f t="shared" si="21"/>
        <v>1049154</v>
      </c>
      <c r="O20" s="93">
        <v>0</v>
      </c>
      <c r="P20" s="93">
        <f t="shared" si="22"/>
        <v>1049154</v>
      </c>
      <c r="Q20" s="95">
        <v>0</v>
      </c>
      <c r="R20" s="95">
        <v>2500</v>
      </c>
      <c r="S20" s="96">
        <f t="shared" si="14"/>
        <v>2500</v>
      </c>
      <c r="T20" s="95">
        <f t="shared" si="15"/>
        <v>1046654</v>
      </c>
      <c r="U20" s="65">
        <v>-200000</v>
      </c>
      <c r="V20" s="93">
        <f t="shared" si="20"/>
        <v>846654</v>
      </c>
      <c r="W20" s="87"/>
      <c r="X20" s="97">
        <v>150000</v>
      </c>
      <c r="Y20" s="97"/>
      <c r="Z20" s="93">
        <v>0</v>
      </c>
      <c r="AA20" s="87">
        <v>500</v>
      </c>
      <c r="AB20" s="87"/>
      <c r="AC20" s="87">
        <f t="shared" si="16"/>
        <v>150500</v>
      </c>
      <c r="AD20" s="87">
        <f t="shared" si="17"/>
        <v>696150</v>
      </c>
      <c r="AE20" s="98">
        <f t="shared" si="6"/>
        <v>51730</v>
      </c>
      <c r="AF20" s="87">
        <v>0</v>
      </c>
      <c r="AG20" s="90">
        <f t="shared" si="18"/>
        <v>1551.8999999999999</v>
      </c>
      <c r="AH20" s="89">
        <v>0</v>
      </c>
      <c r="AI20" s="89">
        <f t="shared" si="19"/>
        <v>53282</v>
      </c>
      <c r="AJ20" s="89">
        <v>53283</v>
      </c>
      <c r="AK20" s="89">
        <v>0</v>
      </c>
      <c r="AL20" s="89">
        <f t="shared" si="12"/>
        <v>53283</v>
      </c>
      <c r="AM20" s="65">
        <f t="shared" si="13"/>
        <v>-1</v>
      </c>
      <c r="AN20" s="75" t="s">
        <v>228</v>
      </c>
    </row>
    <row r="21" spans="1:44" s="108" customFormat="1" ht="12.75" customHeight="1" x14ac:dyDescent="0.2">
      <c r="A21" s="100"/>
      <c r="B21" s="123" t="s">
        <v>140</v>
      </c>
      <c r="C21" s="83">
        <v>14074</v>
      </c>
      <c r="D21" s="84" t="s">
        <v>190</v>
      </c>
      <c r="E21" s="100" t="s">
        <v>255</v>
      </c>
      <c r="F21" s="100"/>
      <c r="G21" s="101" t="s">
        <v>226</v>
      </c>
      <c r="H21" s="101" t="s">
        <v>227</v>
      </c>
      <c r="I21" s="102">
        <v>271728</v>
      </c>
      <c r="J21" s="102">
        <v>0</v>
      </c>
      <c r="K21" s="102">
        <v>0</v>
      </c>
      <c r="L21" s="102">
        <v>5484</v>
      </c>
      <c r="M21" s="102"/>
      <c r="N21" s="103">
        <f t="shared" si="21"/>
        <v>266244</v>
      </c>
      <c r="O21" s="103">
        <v>0</v>
      </c>
      <c r="P21" s="103">
        <f t="shared" si="22"/>
        <v>266244</v>
      </c>
      <c r="Q21" s="104">
        <v>0</v>
      </c>
      <c r="R21" s="104">
        <v>2500</v>
      </c>
      <c r="S21" s="104">
        <f t="shared" si="14"/>
        <v>2500</v>
      </c>
      <c r="T21" s="104">
        <f t="shared" si="15"/>
        <v>263744</v>
      </c>
      <c r="U21" s="102"/>
      <c r="V21" s="103">
        <f t="shared" si="20"/>
        <v>263744</v>
      </c>
      <c r="W21" s="102"/>
      <c r="X21" s="103">
        <v>150000</v>
      </c>
      <c r="Y21" s="103"/>
      <c r="Z21" s="103">
        <v>0</v>
      </c>
      <c r="AA21" s="102">
        <v>500</v>
      </c>
      <c r="AB21" s="102"/>
      <c r="AC21" s="102">
        <f t="shared" si="16"/>
        <v>150500</v>
      </c>
      <c r="AD21" s="102">
        <f t="shared" si="17"/>
        <v>113240</v>
      </c>
      <c r="AE21" s="98">
        <f t="shared" si="6"/>
        <v>0</v>
      </c>
      <c r="AF21" s="102">
        <v>0</v>
      </c>
      <c r="AG21" s="105">
        <f t="shared" si="18"/>
        <v>0</v>
      </c>
      <c r="AH21" s="106">
        <v>0</v>
      </c>
      <c r="AI21" s="106">
        <f t="shared" si="19"/>
        <v>0</v>
      </c>
      <c r="AJ21" s="106">
        <v>19051</v>
      </c>
      <c r="AK21" s="106">
        <v>0</v>
      </c>
      <c r="AL21" s="106">
        <f t="shared" si="12"/>
        <v>19051</v>
      </c>
      <c r="AM21" s="102">
        <f t="shared" si="13"/>
        <v>-19051</v>
      </c>
      <c r="AN21" s="107" t="s">
        <v>228</v>
      </c>
      <c r="AO21" s="107"/>
      <c r="AP21" s="107"/>
      <c r="AQ21" s="107"/>
      <c r="AR21" s="102"/>
    </row>
    <row r="22" spans="1:44" ht="12.75" customHeight="1" x14ac:dyDescent="0.2">
      <c r="A22" s="82"/>
      <c r="B22" s="91" t="s">
        <v>165</v>
      </c>
      <c r="C22" s="91">
        <v>14075</v>
      </c>
      <c r="D22" s="92" t="s">
        <v>215</v>
      </c>
      <c r="E22" s="85" t="s">
        <v>237</v>
      </c>
      <c r="F22" s="99" t="s">
        <v>232</v>
      </c>
      <c r="G22" s="86" t="s">
        <v>226</v>
      </c>
      <c r="H22" s="86" t="s">
        <v>227</v>
      </c>
      <c r="I22" s="65">
        <v>456908</v>
      </c>
      <c r="J22" s="65">
        <v>0</v>
      </c>
      <c r="K22" s="65">
        <v>0</v>
      </c>
      <c r="L22" s="87">
        <v>3900</v>
      </c>
      <c r="M22" s="65"/>
      <c r="N22" s="93">
        <f t="shared" si="21"/>
        <v>453008</v>
      </c>
      <c r="O22" s="93">
        <v>0</v>
      </c>
      <c r="P22" s="93">
        <f t="shared" si="22"/>
        <v>453008</v>
      </c>
      <c r="Q22" s="95">
        <v>0</v>
      </c>
      <c r="R22" s="95">
        <v>2500</v>
      </c>
      <c r="S22" s="96">
        <f t="shared" si="14"/>
        <v>2500</v>
      </c>
      <c r="T22" s="95">
        <f t="shared" si="15"/>
        <v>450508</v>
      </c>
      <c r="U22" s="65"/>
      <c r="V22" s="93">
        <f t="shared" si="20"/>
        <v>450508</v>
      </c>
      <c r="W22" s="87"/>
      <c r="X22" s="97">
        <v>135254</v>
      </c>
      <c r="Y22" s="97"/>
      <c r="Z22" s="93">
        <v>0</v>
      </c>
      <c r="AA22" s="87">
        <v>500</v>
      </c>
      <c r="AB22" s="87"/>
      <c r="AC22" s="87">
        <f t="shared" si="16"/>
        <v>135754</v>
      </c>
      <c r="AD22" s="87">
        <f t="shared" si="17"/>
        <v>314750</v>
      </c>
      <c r="AE22" s="98">
        <f t="shared" si="6"/>
        <v>737.5</v>
      </c>
      <c r="AF22" s="87">
        <v>0</v>
      </c>
      <c r="AG22" s="90">
        <f t="shared" si="18"/>
        <v>22.125</v>
      </c>
      <c r="AH22" s="89">
        <v>0</v>
      </c>
      <c r="AI22" s="89">
        <f t="shared" si="19"/>
        <v>760</v>
      </c>
      <c r="AJ22" s="89">
        <v>1872</v>
      </c>
      <c r="AK22" s="89">
        <v>0</v>
      </c>
      <c r="AL22" s="89">
        <f t="shared" si="12"/>
        <v>1872</v>
      </c>
      <c r="AM22" s="65">
        <f t="shared" si="13"/>
        <v>-1112</v>
      </c>
      <c r="AN22" s="75" t="s">
        <v>228</v>
      </c>
    </row>
    <row r="23" spans="1:44" ht="12.75" customHeight="1" x14ac:dyDescent="0.2">
      <c r="A23" s="82"/>
      <c r="B23" s="91" t="s">
        <v>141</v>
      </c>
      <c r="C23" s="91">
        <v>14085</v>
      </c>
      <c r="D23" s="92" t="s">
        <v>191</v>
      </c>
      <c r="E23" s="85" t="s">
        <v>237</v>
      </c>
      <c r="F23" s="99" t="s">
        <v>232</v>
      </c>
      <c r="G23" s="86" t="s">
        <v>226</v>
      </c>
      <c r="H23" s="86" t="s">
        <v>227</v>
      </c>
      <c r="I23" s="65">
        <v>417911.7</v>
      </c>
      <c r="J23" s="65">
        <v>29639.33</v>
      </c>
      <c r="K23" s="65">
        <v>0</v>
      </c>
      <c r="L23" s="87">
        <v>1450</v>
      </c>
      <c r="M23" s="65"/>
      <c r="N23" s="93">
        <f t="shared" si="21"/>
        <v>446101.03</v>
      </c>
      <c r="O23" s="93">
        <v>0</v>
      </c>
      <c r="P23" s="93">
        <f t="shared" si="22"/>
        <v>446101.03</v>
      </c>
      <c r="Q23" s="95">
        <v>0</v>
      </c>
      <c r="R23" s="95">
        <v>2500</v>
      </c>
      <c r="S23" s="96">
        <f t="shared" si="14"/>
        <v>2500</v>
      </c>
      <c r="T23" s="95">
        <f t="shared" si="15"/>
        <v>443601.03</v>
      </c>
      <c r="U23" s="65"/>
      <c r="V23" s="93">
        <f t="shared" si="20"/>
        <v>443601.03</v>
      </c>
      <c r="W23" s="87"/>
      <c r="X23" s="97">
        <v>69570</v>
      </c>
      <c r="Y23" s="97"/>
      <c r="Z23" s="93">
        <v>0</v>
      </c>
      <c r="AA23" s="87">
        <v>500</v>
      </c>
      <c r="AB23" s="87"/>
      <c r="AC23" s="87">
        <f t="shared" si="16"/>
        <v>70070</v>
      </c>
      <c r="AD23" s="87">
        <f t="shared" si="17"/>
        <v>373530</v>
      </c>
      <c r="AE23" s="98">
        <f t="shared" si="6"/>
        <v>6176.5</v>
      </c>
      <c r="AF23" s="87">
        <v>0</v>
      </c>
      <c r="AG23" s="90">
        <f t="shared" si="18"/>
        <v>185.29499999999999</v>
      </c>
      <c r="AH23" s="89">
        <v>0</v>
      </c>
      <c r="AI23" s="89">
        <f t="shared" si="19"/>
        <v>6362</v>
      </c>
      <c r="AJ23" s="89">
        <f>2354+4124</f>
        <v>6478</v>
      </c>
      <c r="AK23" s="89">
        <v>0</v>
      </c>
      <c r="AL23" s="89">
        <f t="shared" si="12"/>
        <v>6478</v>
      </c>
      <c r="AM23" s="65">
        <f t="shared" si="13"/>
        <v>-116</v>
      </c>
      <c r="AN23" s="75" t="s">
        <v>228</v>
      </c>
    </row>
    <row r="24" spans="1:44" ht="12.75" customHeight="1" x14ac:dyDescent="0.2">
      <c r="A24" s="82"/>
      <c r="B24" s="91" t="s">
        <v>142</v>
      </c>
      <c r="C24" s="91">
        <v>14092</v>
      </c>
      <c r="D24" s="92" t="s">
        <v>192</v>
      </c>
      <c r="E24" s="85" t="s">
        <v>240</v>
      </c>
      <c r="F24" s="99" t="s">
        <v>230</v>
      </c>
      <c r="G24" s="86" t="s">
        <v>226</v>
      </c>
      <c r="H24" s="86" t="s">
        <v>227</v>
      </c>
      <c r="I24" s="65">
        <v>1074786</v>
      </c>
      <c r="J24" s="65">
        <v>0</v>
      </c>
      <c r="K24" s="65">
        <v>0</v>
      </c>
      <c r="L24" s="87">
        <v>4582</v>
      </c>
      <c r="M24" s="65"/>
      <c r="N24" s="93">
        <f t="shared" si="21"/>
        <v>1070204</v>
      </c>
      <c r="O24" s="93">
        <v>0</v>
      </c>
      <c r="P24" s="93">
        <f t="shared" si="22"/>
        <v>1070204</v>
      </c>
      <c r="Q24" s="95">
        <v>0</v>
      </c>
      <c r="R24" s="95">
        <v>2500</v>
      </c>
      <c r="S24" s="96">
        <f t="shared" si="14"/>
        <v>2500</v>
      </c>
      <c r="T24" s="95">
        <f t="shared" si="15"/>
        <v>1067704</v>
      </c>
      <c r="U24" s="65"/>
      <c r="V24" s="93">
        <f t="shared" si="20"/>
        <v>1067704</v>
      </c>
      <c r="W24" s="87"/>
      <c r="X24" s="97">
        <v>150000</v>
      </c>
      <c r="Y24" s="97"/>
      <c r="Z24" s="93">
        <v>0</v>
      </c>
      <c r="AA24" s="87">
        <v>12427</v>
      </c>
      <c r="AB24" s="87"/>
      <c r="AC24" s="87">
        <f t="shared" si="16"/>
        <v>162427</v>
      </c>
      <c r="AD24" s="87">
        <f t="shared" si="17"/>
        <v>905280</v>
      </c>
      <c r="AE24" s="98">
        <f t="shared" si="6"/>
        <v>93556</v>
      </c>
      <c r="AF24" s="87">
        <v>0</v>
      </c>
      <c r="AG24" s="90">
        <f t="shared" si="18"/>
        <v>2806.68</v>
      </c>
      <c r="AH24" s="89">
        <v>0</v>
      </c>
      <c r="AI24" s="89">
        <f t="shared" si="19"/>
        <v>96363</v>
      </c>
      <c r="AJ24" s="89">
        <v>96363</v>
      </c>
      <c r="AK24" s="89">
        <v>0</v>
      </c>
      <c r="AL24" s="89">
        <f t="shared" si="12"/>
        <v>96363</v>
      </c>
      <c r="AM24" s="65">
        <f t="shared" si="13"/>
        <v>0</v>
      </c>
      <c r="AN24" s="75" t="s">
        <v>228</v>
      </c>
    </row>
    <row r="25" spans="1:44" s="122" customFormat="1" ht="12.75" customHeight="1" x14ac:dyDescent="0.2">
      <c r="A25" s="109"/>
      <c r="B25" s="110" t="s">
        <v>173</v>
      </c>
      <c r="C25" s="110">
        <v>14095</v>
      </c>
      <c r="D25" s="111" t="s">
        <v>223</v>
      </c>
      <c r="E25" s="109" t="s">
        <v>241</v>
      </c>
      <c r="F25" s="112" t="s">
        <v>232</v>
      </c>
      <c r="G25" s="113" t="s">
        <v>226</v>
      </c>
      <c r="H25" s="113" t="s">
        <v>227</v>
      </c>
      <c r="I25" s="114">
        <v>945028</v>
      </c>
      <c r="J25" s="114">
        <v>0</v>
      </c>
      <c r="K25" s="114">
        <v>0</v>
      </c>
      <c r="L25" s="114">
        <v>0</v>
      </c>
      <c r="M25" s="114"/>
      <c r="N25" s="115">
        <f t="shared" si="21"/>
        <v>945028</v>
      </c>
      <c r="O25" s="115">
        <v>0</v>
      </c>
      <c r="P25" s="115">
        <f t="shared" si="22"/>
        <v>945028</v>
      </c>
      <c r="Q25" s="116">
        <v>0</v>
      </c>
      <c r="R25" s="116">
        <v>2500</v>
      </c>
      <c r="S25" s="116">
        <f t="shared" si="14"/>
        <v>2500</v>
      </c>
      <c r="T25" s="116">
        <f t="shared" si="15"/>
        <v>942528</v>
      </c>
      <c r="U25" s="114"/>
      <c r="V25" s="115">
        <f t="shared" si="20"/>
        <v>942528</v>
      </c>
      <c r="W25" s="114"/>
      <c r="X25" s="115">
        <v>150000</v>
      </c>
      <c r="Y25" s="115"/>
      <c r="Z25" s="115">
        <v>0</v>
      </c>
      <c r="AA25" s="114">
        <v>500</v>
      </c>
      <c r="AB25" s="114"/>
      <c r="AC25" s="114">
        <f t="shared" si="16"/>
        <v>150500</v>
      </c>
      <c r="AD25" s="114">
        <f t="shared" si="17"/>
        <v>792030</v>
      </c>
      <c r="AE25" s="117">
        <f t="shared" si="6"/>
        <v>70906</v>
      </c>
      <c r="AF25" s="114">
        <v>0</v>
      </c>
      <c r="AG25" s="118">
        <f t="shared" si="18"/>
        <v>2127.1799999999998</v>
      </c>
      <c r="AH25" s="119">
        <v>0</v>
      </c>
      <c r="AI25" s="119">
        <f t="shared" si="19"/>
        <v>73034</v>
      </c>
      <c r="AJ25" s="119">
        <v>50948</v>
      </c>
      <c r="AK25" s="119">
        <f>77576-AJ25</f>
        <v>26628</v>
      </c>
      <c r="AL25" s="119">
        <f t="shared" ref="AL25:AL27" si="23">AJ25+AK25</f>
        <v>77576</v>
      </c>
      <c r="AM25" s="114">
        <f t="shared" si="13"/>
        <v>-4542</v>
      </c>
      <c r="AN25" s="121" t="s">
        <v>228</v>
      </c>
      <c r="AO25" s="121"/>
      <c r="AP25" s="121"/>
      <c r="AQ25" s="121"/>
      <c r="AR25" s="114"/>
    </row>
    <row r="26" spans="1:44" s="122" customFormat="1" ht="12.75" customHeight="1" x14ac:dyDescent="0.2">
      <c r="A26" s="109"/>
      <c r="B26" s="110" t="s">
        <v>168</v>
      </c>
      <c r="C26" s="110">
        <v>14102</v>
      </c>
      <c r="D26" s="111" t="s">
        <v>218</v>
      </c>
      <c r="E26" s="109" t="s">
        <v>242</v>
      </c>
      <c r="F26" s="112" t="s">
        <v>230</v>
      </c>
      <c r="G26" s="113" t="s">
        <v>226</v>
      </c>
      <c r="H26" s="113" t="s">
        <v>227</v>
      </c>
      <c r="I26" s="114">
        <v>1220503</v>
      </c>
      <c r="J26" s="114">
        <v>0</v>
      </c>
      <c r="K26" s="114">
        <v>0</v>
      </c>
      <c r="L26" s="114">
        <v>1500</v>
      </c>
      <c r="M26" s="114"/>
      <c r="N26" s="115">
        <f t="shared" si="21"/>
        <v>1219003</v>
      </c>
      <c r="O26" s="115">
        <v>0</v>
      </c>
      <c r="P26" s="115">
        <f t="shared" si="22"/>
        <v>1219003</v>
      </c>
      <c r="Q26" s="116">
        <v>0</v>
      </c>
      <c r="R26" s="116">
        <v>2500</v>
      </c>
      <c r="S26" s="116">
        <f t="shared" si="14"/>
        <v>2500</v>
      </c>
      <c r="T26" s="116">
        <f t="shared" si="15"/>
        <v>1216503</v>
      </c>
      <c r="U26" s="114">
        <v>-155375</v>
      </c>
      <c r="V26" s="115">
        <f t="shared" si="20"/>
        <v>1061128</v>
      </c>
      <c r="W26" s="114"/>
      <c r="X26" s="115">
        <v>150000</v>
      </c>
      <c r="Y26" s="115"/>
      <c r="Z26" s="115">
        <v>0</v>
      </c>
      <c r="AA26" s="114">
        <v>500</v>
      </c>
      <c r="AB26" s="114"/>
      <c r="AC26" s="114">
        <f t="shared" si="16"/>
        <v>150500</v>
      </c>
      <c r="AD26" s="114">
        <f t="shared" si="17"/>
        <v>910630</v>
      </c>
      <c r="AE26" s="117">
        <f t="shared" si="6"/>
        <v>94626</v>
      </c>
      <c r="AF26" s="114">
        <v>0</v>
      </c>
      <c r="AG26" s="118">
        <f t="shared" si="18"/>
        <v>2838.7799999999997</v>
      </c>
      <c r="AH26" s="119">
        <v>0</v>
      </c>
      <c r="AI26" s="119">
        <f t="shared" si="19"/>
        <v>97465</v>
      </c>
      <c r="AJ26" s="119">
        <v>73737</v>
      </c>
      <c r="AK26" s="119">
        <f>108036-AJ26</f>
        <v>34299</v>
      </c>
      <c r="AL26" s="119">
        <f t="shared" si="23"/>
        <v>108036</v>
      </c>
      <c r="AM26" s="114">
        <f t="shared" si="13"/>
        <v>-10571</v>
      </c>
      <c r="AN26" s="121" t="s">
        <v>228</v>
      </c>
      <c r="AO26" s="121"/>
      <c r="AP26" s="121"/>
      <c r="AQ26" s="121"/>
      <c r="AR26" s="114"/>
    </row>
    <row r="27" spans="1:44" s="122" customFormat="1" ht="12.75" customHeight="1" x14ac:dyDescent="0.2">
      <c r="A27" s="109"/>
      <c r="B27" s="110" t="s">
        <v>169</v>
      </c>
      <c r="C27" s="110">
        <v>14106</v>
      </c>
      <c r="D27" s="111" t="s">
        <v>219</v>
      </c>
      <c r="E27" s="109" t="s">
        <v>243</v>
      </c>
      <c r="F27" s="112" t="s">
        <v>230</v>
      </c>
      <c r="G27" s="113" t="s">
        <v>226</v>
      </c>
      <c r="H27" s="113" t="s">
        <v>227</v>
      </c>
      <c r="I27" s="114">
        <v>966489</v>
      </c>
      <c r="J27" s="114">
        <v>0</v>
      </c>
      <c r="K27" s="114">
        <v>0</v>
      </c>
      <c r="L27" s="114">
        <v>1500</v>
      </c>
      <c r="M27" s="114"/>
      <c r="N27" s="115">
        <f t="shared" si="21"/>
        <v>964989</v>
      </c>
      <c r="O27" s="115">
        <v>0</v>
      </c>
      <c r="P27" s="115">
        <f t="shared" si="22"/>
        <v>964989</v>
      </c>
      <c r="Q27" s="116">
        <v>0</v>
      </c>
      <c r="R27" s="116">
        <v>2500</v>
      </c>
      <c r="S27" s="116">
        <f t="shared" si="14"/>
        <v>2500</v>
      </c>
      <c r="T27" s="116">
        <f t="shared" si="15"/>
        <v>962489</v>
      </c>
      <c r="U27" s="114"/>
      <c r="V27" s="115">
        <f t="shared" si="20"/>
        <v>962489</v>
      </c>
      <c r="W27" s="114"/>
      <c r="X27" s="115">
        <v>150000</v>
      </c>
      <c r="Y27" s="115"/>
      <c r="Z27" s="115">
        <v>0</v>
      </c>
      <c r="AA27" s="114">
        <v>500</v>
      </c>
      <c r="AB27" s="114"/>
      <c r="AC27" s="114">
        <f t="shared" si="16"/>
        <v>150500</v>
      </c>
      <c r="AD27" s="114">
        <f t="shared" si="17"/>
        <v>811990</v>
      </c>
      <c r="AE27" s="117">
        <f t="shared" si="6"/>
        <v>74898</v>
      </c>
      <c r="AF27" s="114">
        <v>0</v>
      </c>
      <c r="AG27" s="118">
        <f t="shared" si="18"/>
        <v>2246.94</v>
      </c>
      <c r="AH27" s="119">
        <v>0</v>
      </c>
      <c r="AI27" s="119">
        <f t="shared" si="19"/>
        <v>77145</v>
      </c>
      <c r="AJ27" s="119">
        <v>56641</v>
      </c>
      <c r="AK27" s="119">
        <f>77145-AJ27</f>
        <v>20504</v>
      </c>
      <c r="AL27" s="119">
        <f t="shared" si="23"/>
        <v>77145</v>
      </c>
      <c r="AM27" s="114">
        <f t="shared" si="13"/>
        <v>0</v>
      </c>
      <c r="AN27" s="121" t="s">
        <v>228</v>
      </c>
      <c r="AO27" s="121"/>
      <c r="AP27" s="121"/>
      <c r="AQ27" s="121"/>
      <c r="AR27" s="114"/>
    </row>
    <row r="28" spans="1:44" ht="12.75" customHeight="1" x14ac:dyDescent="0.2">
      <c r="A28" s="82"/>
      <c r="B28" s="91" t="s">
        <v>143</v>
      </c>
      <c r="C28" s="91">
        <v>14134</v>
      </c>
      <c r="D28" s="92" t="s">
        <v>193</v>
      </c>
      <c r="E28" s="85" t="s">
        <v>244</v>
      </c>
      <c r="F28" s="99" t="s">
        <v>232</v>
      </c>
      <c r="G28" s="86" t="s">
        <v>226</v>
      </c>
      <c r="H28" s="86" t="s">
        <v>227</v>
      </c>
      <c r="I28" s="65">
        <v>563498.05000000005</v>
      </c>
      <c r="J28" s="65">
        <v>91476.75</v>
      </c>
      <c r="K28" s="65">
        <v>0</v>
      </c>
      <c r="L28" s="87">
        <v>6299.03</v>
      </c>
      <c r="M28" s="65"/>
      <c r="N28" s="93">
        <f t="shared" si="21"/>
        <v>648675.77</v>
      </c>
      <c r="O28" s="93">
        <v>0</v>
      </c>
      <c r="P28" s="93">
        <f t="shared" si="22"/>
        <v>648675.77</v>
      </c>
      <c r="Q28" s="95">
        <v>0</v>
      </c>
      <c r="R28" s="95">
        <v>2500</v>
      </c>
      <c r="S28" s="96">
        <f t="shared" si="14"/>
        <v>2500</v>
      </c>
      <c r="T28" s="95">
        <f t="shared" si="15"/>
        <v>646175.77</v>
      </c>
      <c r="U28" s="65"/>
      <c r="V28" s="93">
        <f t="shared" si="20"/>
        <v>646175.77</v>
      </c>
      <c r="W28" s="87"/>
      <c r="X28" s="97">
        <v>150000</v>
      </c>
      <c r="Y28" s="97"/>
      <c r="Z28" s="93">
        <v>0</v>
      </c>
      <c r="AA28" s="87">
        <v>500</v>
      </c>
      <c r="AB28" s="87"/>
      <c r="AC28" s="87">
        <f t="shared" si="16"/>
        <v>150500</v>
      </c>
      <c r="AD28" s="87">
        <f t="shared" si="17"/>
        <v>495680</v>
      </c>
      <c r="AE28" s="98">
        <f t="shared" si="6"/>
        <v>12284</v>
      </c>
      <c r="AF28" s="87">
        <v>0</v>
      </c>
      <c r="AG28" s="90">
        <f t="shared" si="18"/>
        <v>368.52</v>
      </c>
      <c r="AH28" s="89">
        <v>0</v>
      </c>
      <c r="AI28" s="89">
        <f t="shared" si="19"/>
        <v>12653</v>
      </c>
      <c r="AJ28" s="89">
        <f>20547+4258</f>
        <v>24805</v>
      </c>
      <c r="AK28" s="89">
        <v>0</v>
      </c>
      <c r="AL28" s="89">
        <f t="shared" si="12"/>
        <v>24805</v>
      </c>
      <c r="AM28" s="65">
        <f t="shared" si="13"/>
        <v>-12152</v>
      </c>
      <c r="AN28" s="75" t="s">
        <v>228</v>
      </c>
    </row>
    <row r="29" spans="1:44" s="122" customFormat="1" ht="12.75" customHeight="1" x14ac:dyDescent="0.2">
      <c r="A29" s="109"/>
      <c r="B29" s="110" t="s">
        <v>170</v>
      </c>
      <c r="C29" s="110">
        <v>14141</v>
      </c>
      <c r="D29" s="111" t="s">
        <v>220</v>
      </c>
      <c r="E29" s="109" t="s">
        <v>242</v>
      </c>
      <c r="F29" s="112" t="s">
        <v>232</v>
      </c>
      <c r="G29" s="113" t="s">
        <v>226</v>
      </c>
      <c r="H29" s="113" t="s">
        <v>227</v>
      </c>
      <c r="I29" s="114">
        <v>1053007.3999999999</v>
      </c>
      <c r="J29" s="114">
        <v>152954.1</v>
      </c>
      <c r="K29" s="114">
        <v>0</v>
      </c>
      <c r="L29" s="114">
        <v>0</v>
      </c>
      <c r="M29" s="114"/>
      <c r="N29" s="115">
        <f t="shared" si="21"/>
        <v>1205961.5</v>
      </c>
      <c r="O29" s="115">
        <v>0</v>
      </c>
      <c r="P29" s="115">
        <f t="shared" si="22"/>
        <v>1205961.5</v>
      </c>
      <c r="Q29" s="116">
        <v>0</v>
      </c>
      <c r="R29" s="116">
        <v>2500</v>
      </c>
      <c r="S29" s="116">
        <f t="shared" si="14"/>
        <v>2500</v>
      </c>
      <c r="T29" s="116">
        <f t="shared" si="15"/>
        <v>1203461.5</v>
      </c>
      <c r="U29" s="114"/>
      <c r="V29" s="115">
        <f t="shared" si="20"/>
        <v>1203461.5</v>
      </c>
      <c r="W29" s="114"/>
      <c r="X29" s="115">
        <v>140268</v>
      </c>
      <c r="Y29" s="115"/>
      <c r="Z29" s="115">
        <v>0</v>
      </c>
      <c r="AA29" s="114">
        <v>500</v>
      </c>
      <c r="AB29" s="114"/>
      <c r="AC29" s="114">
        <f t="shared" si="16"/>
        <v>140768</v>
      </c>
      <c r="AD29" s="114">
        <f t="shared" si="17"/>
        <v>1062690</v>
      </c>
      <c r="AE29" s="117">
        <f t="shared" si="6"/>
        <v>131307</v>
      </c>
      <c r="AF29" s="114">
        <v>0</v>
      </c>
      <c r="AG29" s="118">
        <f t="shared" si="18"/>
        <v>3939.21</v>
      </c>
      <c r="AH29" s="119">
        <v>0</v>
      </c>
      <c r="AI29" s="119">
        <f t="shared" si="19"/>
        <v>135247</v>
      </c>
      <c r="AJ29" s="119">
        <f>68013+38576</f>
        <v>106589</v>
      </c>
      <c r="AK29" s="119">
        <f>135248-AJ29</f>
        <v>28659</v>
      </c>
      <c r="AL29" s="119">
        <f>AJ29+AK29</f>
        <v>135248</v>
      </c>
      <c r="AM29" s="114">
        <f t="shared" si="13"/>
        <v>-1</v>
      </c>
      <c r="AN29" s="121" t="s">
        <v>228</v>
      </c>
      <c r="AO29" s="121"/>
      <c r="AP29" s="121"/>
      <c r="AQ29" s="121"/>
      <c r="AR29" s="114"/>
    </row>
    <row r="30" spans="1:44" ht="12.75" customHeight="1" x14ac:dyDescent="0.2">
      <c r="A30" s="82"/>
      <c r="B30" s="91" t="s">
        <v>144</v>
      </c>
      <c r="C30" s="91">
        <v>14475</v>
      </c>
      <c r="D30" s="92" t="s">
        <v>194</v>
      </c>
      <c r="E30" s="85" t="s">
        <v>242</v>
      </c>
      <c r="F30" s="99" t="s">
        <v>232</v>
      </c>
      <c r="G30" s="86" t="s">
        <v>226</v>
      </c>
      <c r="H30" s="86" t="s">
        <v>227</v>
      </c>
      <c r="I30" s="65">
        <v>1056727</v>
      </c>
      <c r="J30" s="65">
        <v>0</v>
      </c>
      <c r="K30" s="65">
        <v>0</v>
      </c>
      <c r="L30" s="87">
        <v>0</v>
      </c>
      <c r="M30" s="65"/>
      <c r="N30" s="93">
        <f t="shared" si="21"/>
        <v>1056727</v>
      </c>
      <c r="O30" s="93">
        <v>0</v>
      </c>
      <c r="P30" s="93">
        <f t="shared" si="22"/>
        <v>1056727</v>
      </c>
      <c r="Q30" s="95">
        <v>0</v>
      </c>
      <c r="R30" s="95">
        <v>2500</v>
      </c>
      <c r="S30" s="96">
        <f t="shared" si="14"/>
        <v>2500</v>
      </c>
      <c r="T30" s="95">
        <f t="shared" si="15"/>
        <v>1054227</v>
      </c>
      <c r="U30" s="65">
        <v>-200000</v>
      </c>
      <c r="V30" s="93">
        <f t="shared" si="20"/>
        <v>854227</v>
      </c>
      <c r="W30" s="87"/>
      <c r="X30" s="97">
        <v>150000</v>
      </c>
      <c r="Y30" s="97"/>
      <c r="Z30" s="93">
        <v>0</v>
      </c>
      <c r="AA30" s="87">
        <v>500</v>
      </c>
      <c r="AB30" s="87"/>
      <c r="AC30" s="87">
        <f t="shared" si="16"/>
        <v>150500</v>
      </c>
      <c r="AD30" s="87">
        <f t="shared" si="17"/>
        <v>703730</v>
      </c>
      <c r="AE30" s="98">
        <f t="shared" si="6"/>
        <v>53246</v>
      </c>
      <c r="AF30" s="87">
        <v>0</v>
      </c>
      <c r="AG30" s="90">
        <f t="shared" si="18"/>
        <v>1597.3799999999999</v>
      </c>
      <c r="AH30" s="89">
        <v>0</v>
      </c>
      <c r="AI30" s="89">
        <f t="shared" si="19"/>
        <v>54844</v>
      </c>
      <c r="AJ30" s="89">
        <v>54844</v>
      </c>
      <c r="AK30" s="89">
        <v>0</v>
      </c>
      <c r="AL30" s="89">
        <f t="shared" si="12"/>
        <v>54844</v>
      </c>
      <c r="AM30" s="65">
        <f t="shared" si="13"/>
        <v>0</v>
      </c>
      <c r="AN30" s="75" t="s">
        <v>228</v>
      </c>
    </row>
    <row r="31" spans="1:44" ht="12.75" customHeight="1" x14ac:dyDescent="0.2">
      <c r="A31" s="82"/>
      <c r="B31" s="91" t="s">
        <v>145</v>
      </c>
      <c r="C31" s="91">
        <v>15031</v>
      </c>
      <c r="D31" s="92" t="s">
        <v>195</v>
      </c>
      <c r="E31" s="85" t="s">
        <v>245</v>
      </c>
      <c r="F31" s="99" t="s">
        <v>232</v>
      </c>
      <c r="G31" s="86" t="s">
        <v>226</v>
      </c>
      <c r="H31" s="86" t="s">
        <v>227</v>
      </c>
      <c r="I31" s="65">
        <v>837784</v>
      </c>
      <c r="J31" s="65">
        <v>0</v>
      </c>
      <c r="K31" s="65">
        <v>0</v>
      </c>
      <c r="L31" s="87">
        <v>19755</v>
      </c>
      <c r="M31" s="65"/>
      <c r="N31" s="93">
        <f t="shared" si="21"/>
        <v>818029</v>
      </c>
      <c r="O31" s="93">
        <v>0</v>
      </c>
      <c r="P31" s="93">
        <f t="shared" si="22"/>
        <v>818029</v>
      </c>
      <c r="Q31" s="95">
        <v>0</v>
      </c>
      <c r="R31" s="95">
        <v>0</v>
      </c>
      <c r="S31" s="96">
        <f t="shared" si="14"/>
        <v>0</v>
      </c>
      <c r="T31" s="95">
        <f t="shared" si="15"/>
        <v>818029</v>
      </c>
      <c r="U31" s="65"/>
      <c r="V31" s="93">
        <f t="shared" si="20"/>
        <v>818029</v>
      </c>
      <c r="W31" s="87"/>
      <c r="X31" s="97">
        <v>145715</v>
      </c>
      <c r="Y31" s="97"/>
      <c r="Z31" s="93">
        <v>0</v>
      </c>
      <c r="AA31" s="87">
        <v>75500</v>
      </c>
      <c r="AB31" s="87"/>
      <c r="AC31" s="87">
        <f t="shared" si="16"/>
        <v>221215</v>
      </c>
      <c r="AD31" s="87">
        <f t="shared" si="17"/>
        <v>596810</v>
      </c>
      <c r="AE31" s="98">
        <f t="shared" si="6"/>
        <v>31862</v>
      </c>
      <c r="AF31" s="87">
        <v>0</v>
      </c>
      <c r="AG31" s="90">
        <f t="shared" si="18"/>
        <v>955.86</v>
      </c>
      <c r="AH31" s="89">
        <v>0</v>
      </c>
      <c r="AI31" s="89">
        <f t="shared" si="19"/>
        <v>32818</v>
      </c>
      <c r="AJ31" s="89">
        <v>32819</v>
      </c>
      <c r="AK31" s="89">
        <v>0</v>
      </c>
      <c r="AL31" s="89">
        <f t="shared" si="12"/>
        <v>32819</v>
      </c>
      <c r="AM31" s="65">
        <f t="shared" si="13"/>
        <v>-1</v>
      </c>
      <c r="AN31" s="75" t="s">
        <v>228</v>
      </c>
    </row>
    <row r="32" spans="1:44" s="122" customFormat="1" ht="12.75" customHeight="1" x14ac:dyDescent="0.2">
      <c r="A32" s="109"/>
      <c r="B32" s="110" t="s">
        <v>171</v>
      </c>
      <c r="C32" s="110">
        <v>15473</v>
      </c>
      <c r="D32" s="111" t="s">
        <v>221</v>
      </c>
      <c r="E32" s="109" t="s">
        <v>242</v>
      </c>
      <c r="F32" s="112" t="s">
        <v>232</v>
      </c>
      <c r="G32" s="113" t="s">
        <v>226</v>
      </c>
      <c r="H32" s="113" t="s">
        <v>227</v>
      </c>
      <c r="I32" s="114">
        <v>1329306</v>
      </c>
      <c r="J32" s="114">
        <v>0</v>
      </c>
      <c r="K32" s="114">
        <v>0</v>
      </c>
      <c r="L32" s="114">
        <v>0</v>
      </c>
      <c r="M32" s="114"/>
      <c r="N32" s="115">
        <f t="shared" si="21"/>
        <v>1329306</v>
      </c>
      <c r="O32" s="115">
        <v>0</v>
      </c>
      <c r="P32" s="115">
        <f t="shared" si="22"/>
        <v>1329306</v>
      </c>
      <c r="Q32" s="116">
        <v>0</v>
      </c>
      <c r="R32" s="116">
        <v>2500</v>
      </c>
      <c r="S32" s="116">
        <f t="shared" si="14"/>
        <v>2500</v>
      </c>
      <c r="T32" s="116">
        <f t="shared" si="15"/>
        <v>1326806</v>
      </c>
      <c r="U32" s="114">
        <v>-84338</v>
      </c>
      <c r="V32" s="115">
        <f t="shared" si="20"/>
        <v>1242468</v>
      </c>
      <c r="W32" s="114"/>
      <c r="X32" s="115">
        <v>150000</v>
      </c>
      <c r="Y32" s="115"/>
      <c r="Z32" s="115">
        <v>0</v>
      </c>
      <c r="AA32" s="114">
        <v>25000</v>
      </c>
      <c r="AB32" s="114"/>
      <c r="AC32" s="114">
        <f t="shared" si="16"/>
        <v>175000</v>
      </c>
      <c r="AD32" s="114">
        <f t="shared" si="17"/>
        <v>1067470</v>
      </c>
      <c r="AE32" s="117">
        <f t="shared" si="6"/>
        <v>132741</v>
      </c>
      <c r="AF32" s="114">
        <v>0</v>
      </c>
      <c r="AG32" s="118">
        <f t="shared" si="18"/>
        <v>3982.23</v>
      </c>
      <c r="AH32" s="119">
        <v>0</v>
      </c>
      <c r="AI32" s="119">
        <f t="shared" si="19"/>
        <v>136724</v>
      </c>
      <c r="AJ32" s="119">
        <v>96413</v>
      </c>
      <c r="AK32" s="119">
        <f>136724-AJ32</f>
        <v>40311</v>
      </c>
      <c r="AL32" s="119">
        <f>AJ32+AK32</f>
        <v>136724</v>
      </c>
      <c r="AM32" s="114">
        <f t="shared" si="13"/>
        <v>0</v>
      </c>
      <c r="AN32" s="121" t="s">
        <v>228</v>
      </c>
      <c r="AO32" s="121"/>
      <c r="AP32" s="121"/>
      <c r="AQ32" s="121"/>
      <c r="AR32" s="114"/>
    </row>
    <row r="33" spans="1:44" ht="12.75" customHeight="1" x14ac:dyDescent="0.2">
      <c r="A33" s="82"/>
      <c r="B33" s="91" t="s">
        <v>146</v>
      </c>
      <c r="C33" s="91">
        <v>15640</v>
      </c>
      <c r="D33" s="92" t="s">
        <v>196</v>
      </c>
      <c r="E33" s="85" t="s">
        <v>242</v>
      </c>
      <c r="F33" s="99" t="s">
        <v>232</v>
      </c>
      <c r="G33" s="86" t="s">
        <v>226</v>
      </c>
      <c r="H33" s="86" t="s">
        <v>227</v>
      </c>
      <c r="I33" s="65">
        <v>1090791</v>
      </c>
      <c r="J33" s="65">
        <v>0</v>
      </c>
      <c r="K33" s="65">
        <v>0</v>
      </c>
      <c r="L33" s="87">
        <v>0</v>
      </c>
      <c r="M33" s="65"/>
      <c r="N33" s="93">
        <f t="shared" si="21"/>
        <v>1090791</v>
      </c>
      <c r="O33" s="93">
        <v>0</v>
      </c>
      <c r="P33" s="93">
        <f t="shared" si="22"/>
        <v>1090791</v>
      </c>
      <c r="Q33" s="95">
        <v>0</v>
      </c>
      <c r="R33" s="95">
        <v>2500</v>
      </c>
      <c r="S33" s="96">
        <f t="shared" si="14"/>
        <v>2500</v>
      </c>
      <c r="T33" s="95">
        <f t="shared" si="15"/>
        <v>1088291</v>
      </c>
      <c r="U33" s="65"/>
      <c r="V33" s="93">
        <f t="shared" si="20"/>
        <v>1088291</v>
      </c>
      <c r="W33" s="87"/>
      <c r="X33" s="97">
        <v>150000</v>
      </c>
      <c r="Y33" s="97"/>
      <c r="Z33" s="93">
        <v>0</v>
      </c>
      <c r="AA33" s="87">
        <v>500</v>
      </c>
      <c r="AB33" s="87"/>
      <c r="AC33" s="87">
        <f t="shared" si="16"/>
        <v>150500</v>
      </c>
      <c r="AD33" s="87">
        <f t="shared" si="17"/>
        <v>937790</v>
      </c>
      <c r="AE33" s="98">
        <f t="shared" si="6"/>
        <v>100058</v>
      </c>
      <c r="AF33" s="87">
        <v>0</v>
      </c>
      <c r="AG33" s="90">
        <f t="shared" si="18"/>
        <v>3001.74</v>
      </c>
      <c r="AH33" s="89">
        <v>0</v>
      </c>
      <c r="AI33" s="89">
        <f t="shared" si="19"/>
        <v>103060</v>
      </c>
      <c r="AJ33" s="89">
        <v>103060</v>
      </c>
      <c r="AK33" s="89">
        <v>0</v>
      </c>
      <c r="AL33" s="89">
        <f t="shared" si="12"/>
        <v>103060</v>
      </c>
      <c r="AM33" s="65">
        <f t="shared" si="13"/>
        <v>0</v>
      </c>
      <c r="AN33" s="75" t="s">
        <v>228</v>
      </c>
    </row>
    <row r="34" spans="1:44" s="135" customFormat="1" ht="12.75" customHeight="1" x14ac:dyDescent="0.2">
      <c r="A34" s="124"/>
      <c r="B34" s="125" t="s">
        <v>147</v>
      </c>
      <c r="C34" s="125">
        <v>15673</v>
      </c>
      <c r="D34" s="126" t="s">
        <v>197</v>
      </c>
      <c r="E34" s="124" t="s">
        <v>242</v>
      </c>
      <c r="F34" s="124" t="s">
        <v>232</v>
      </c>
      <c r="G34" s="127" t="s">
        <v>226</v>
      </c>
      <c r="H34" s="127" t="s">
        <v>227</v>
      </c>
      <c r="I34" s="128">
        <v>429561</v>
      </c>
      <c r="J34" s="128">
        <v>0</v>
      </c>
      <c r="K34" s="128">
        <v>0</v>
      </c>
      <c r="L34" s="128">
        <v>2728</v>
      </c>
      <c r="M34" s="128"/>
      <c r="N34" s="129">
        <f t="shared" si="21"/>
        <v>426833</v>
      </c>
      <c r="O34" s="129">
        <v>0</v>
      </c>
      <c r="P34" s="129">
        <f t="shared" si="22"/>
        <v>426833</v>
      </c>
      <c r="Q34" s="130">
        <v>0</v>
      </c>
      <c r="R34" s="130">
        <v>2500</v>
      </c>
      <c r="S34" s="130">
        <f t="shared" si="14"/>
        <v>2500</v>
      </c>
      <c r="T34" s="130">
        <f t="shared" si="15"/>
        <v>424333</v>
      </c>
      <c r="U34" s="128"/>
      <c r="V34" s="129">
        <f t="shared" si="20"/>
        <v>424333</v>
      </c>
      <c r="W34" s="128"/>
      <c r="X34" s="129">
        <v>150000</v>
      </c>
      <c r="Y34" s="129"/>
      <c r="Z34" s="129">
        <v>0</v>
      </c>
      <c r="AA34" s="128">
        <v>500</v>
      </c>
      <c r="AB34" s="128"/>
      <c r="AC34" s="128">
        <f t="shared" si="16"/>
        <v>150500</v>
      </c>
      <c r="AD34" s="128">
        <f t="shared" si="17"/>
        <v>273830</v>
      </c>
      <c r="AE34" s="131">
        <f>IF((AD34&gt;1000000),(((AD34-1000000)*30%)+112500),(IF((AD34&gt;500000),((AD34-500000)*20%+12500),IF(AD34&gt;350000,((AD34-250000)*5%),IF(AD34&gt;300000,((AD34-250000)*5%-2500),0)))))</f>
        <v>0</v>
      </c>
      <c r="AF34" s="128">
        <v>0</v>
      </c>
      <c r="AG34" s="132">
        <f t="shared" si="18"/>
        <v>0</v>
      </c>
      <c r="AH34" s="133">
        <v>0</v>
      </c>
      <c r="AI34" s="133">
        <f t="shared" si="19"/>
        <v>0</v>
      </c>
      <c r="AJ34" s="133">
        <v>71743</v>
      </c>
      <c r="AK34" s="133">
        <v>0</v>
      </c>
      <c r="AL34" s="133">
        <f t="shared" si="12"/>
        <v>71743</v>
      </c>
      <c r="AM34" s="128">
        <f t="shared" si="13"/>
        <v>-71743</v>
      </c>
      <c r="AN34" s="134" t="s">
        <v>228</v>
      </c>
      <c r="AO34" s="134"/>
      <c r="AP34" s="134"/>
      <c r="AQ34" s="134"/>
      <c r="AR34" s="128"/>
    </row>
    <row r="35" spans="1:44" s="108" customFormat="1" ht="12.75" customHeight="1" x14ac:dyDescent="0.2">
      <c r="A35" s="100"/>
      <c r="B35" s="123" t="s">
        <v>163</v>
      </c>
      <c r="C35" s="83">
        <v>15709</v>
      </c>
      <c r="D35" s="84" t="s">
        <v>213</v>
      </c>
      <c r="E35" s="100" t="s">
        <v>233</v>
      </c>
      <c r="F35" s="100" t="s">
        <v>232</v>
      </c>
      <c r="G35" s="101" t="s">
        <v>226</v>
      </c>
      <c r="H35" s="101" t="s">
        <v>227</v>
      </c>
      <c r="I35" s="102">
        <v>1853284</v>
      </c>
      <c r="J35" s="102">
        <v>0</v>
      </c>
      <c r="K35" s="102">
        <v>0</v>
      </c>
      <c r="L35" s="103">
        <f>1001723+195151</f>
        <v>1196874</v>
      </c>
      <c r="M35" s="102"/>
      <c r="N35" s="103">
        <f t="shared" si="21"/>
        <v>656410</v>
      </c>
      <c r="O35" s="103">
        <v>0</v>
      </c>
      <c r="P35" s="103">
        <f t="shared" si="22"/>
        <v>656410</v>
      </c>
      <c r="Q35" s="104">
        <v>0</v>
      </c>
      <c r="R35" s="104">
        <v>200</v>
      </c>
      <c r="S35" s="104">
        <f t="shared" si="14"/>
        <v>200</v>
      </c>
      <c r="T35" s="104">
        <f t="shared" si="15"/>
        <v>656210</v>
      </c>
      <c r="U35" s="102"/>
      <c r="V35" s="103">
        <f t="shared" si="20"/>
        <v>656210</v>
      </c>
      <c r="W35" s="102"/>
      <c r="X35" s="103">
        <v>13445</v>
      </c>
      <c r="Y35" s="103"/>
      <c r="Z35" s="103">
        <v>0</v>
      </c>
      <c r="AA35" s="102">
        <v>0</v>
      </c>
      <c r="AB35" s="102"/>
      <c r="AC35" s="102">
        <f t="shared" si="16"/>
        <v>13445</v>
      </c>
      <c r="AD35" s="102">
        <f t="shared" si="17"/>
        <v>642770</v>
      </c>
      <c r="AE35" s="98">
        <f t="shared" ref="AE35:AE43" si="24">IF((AD35&gt;1000000),(((AD35-1000000)*30%)+112500),(IF((AD35&gt;500000),((AD35-500000)*20%+12500),IF(AD35&gt;350000,((AD35-250000)*5%),IF(AD35&gt;300000,((AD35-250000)*5%-2500),0)))))</f>
        <v>41054</v>
      </c>
      <c r="AF35" s="102">
        <v>0</v>
      </c>
      <c r="AG35" s="105">
        <f t="shared" si="18"/>
        <v>1231.6199999999999</v>
      </c>
      <c r="AH35" s="106">
        <v>0</v>
      </c>
      <c r="AI35" s="106">
        <f t="shared" si="19"/>
        <v>42286</v>
      </c>
      <c r="AJ35" s="106">
        <v>42325</v>
      </c>
      <c r="AK35" s="106">
        <v>0</v>
      </c>
      <c r="AL35" s="106">
        <f t="shared" si="12"/>
        <v>42325</v>
      </c>
      <c r="AM35" s="102">
        <f t="shared" si="13"/>
        <v>-39</v>
      </c>
      <c r="AN35" s="107" t="s">
        <v>228</v>
      </c>
      <c r="AO35" s="107"/>
      <c r="AP35" s="107"/>
      <c r="AQ35" s="107"/>
      <c r="AR35" s="102"/>
    </row>
    <row r="36" spans="1:44" ht="12.75" customHeight="1" x14ac:dyDescent="0.2">
      <c r="A36" s="82"/>
      <c r="B36" s="91" t="s">
        <v>148</v>
      </c>
      <c r="C36" s="91">
        <v>15716</v>
      </c>
      <c r="D36" s="92" t="s">
        <v>198</v>
      </c>
      <c r="E36" s="85" t="s">
        <v>246</v>
      </c>
      <c r="F36" s="99" t="s">
        <v>232</v>
      </c>
      <c r="G36" s="86" t="s">
        <v>226</v>
      </c>
      <c r="H36" s="86" t="s">
        <v>227</v>
      </c>
      <c r="I36" s="65">
        <v>962596</v>
      </c>
      <c r="J36" s="65">
        <v>0</v>
      </c>
      <c r="K36" s="65">
        <v>0</v>
      </c>
      <c r="L36" s="87">
        <v>12364</v>
      </c>
      <c r="M36" s="65"/>
      <c r="N36" s="93">
        <f t="shared" si="21"/>
        <v>950232</v>
      </c>
      <c r="O36" s="93">
        <v>0</v>
      </c>
      <c r="P36" s="93">
        <f t="shared" si="22"/>
        <v>950232</v>
      </c>
      <c r="Q36" s="95">
        <v>0</v>
      </c>
      <c r="R36" s="95">
        <v>2500</v>
      </c>
      <c r="S36" s="96">
        <f t="shared" si="14"/>
        <v>2500</v>
      </c>
      <c r="T36" s="95">
        <f t="shared" si="15"/>
        <v>947732</v>
      </c>
      <c r="U36" s="65"/>
      <c r="V36" s="93">
        <f t="shared" si="20"/>
        <v>947732</v>
      </c>
      <c r="W36" s="87"/>
      <c r="X36" s="97">
        <v>150000</v>
      </c>
      <c r="Y36" s="97"/>
      <c r="Z36" s="93">
        <v>0</v>
      </c>
      <c r="AA36" s="87">
        <v>500</v>
      </c>
      <c r="AB36" s="87"/>
      <c r="AC36" s="87">
        <f t="shared" si="16"/>
        <v>150500</v>
      </c>
      <c r="AD36" s="87">
        <f t="shared" si="17"/>
        <v>797230</v>
      </c>
      <c r="AE36" s="98">
        <f t="shared" si="24"/>
        <v>71946</v>
      </c>
      <c r="AF36" s="87">
        <v>0</v>
      </c>
      <c r="AG36" s="90">
        <f t="shared" si="18"/>
        <v>2158.38</v>
      </c>
      <c r="AH36" s="89">
        <v>0</v>
      </c>
      <c r="AI36" s="89">
        <f t="shared" si="19"/>
        <v>74105</v>
      </c>
      <c r="AJ36" s="89">
        <v>74105</v>
      </c>
      <c r="AK36" s="89">
        <v>0</v>
      </c>
      <c r="AL36" s="89">
        <f t="shared" si="12"/>
        <v>74105</v>
      </c>
      <c r="AM36" s="65">
        <f t="shared" si="13"/>
        <v>0</v>
      </c>
      <c r="AN36" s="75" t="s">
        <v>228</v>
      </c>
    </row>
    <row r="37" spans="1:44" ht="12.75" customHeight="1" x14ac:dyDescent="0.2">
      <c r="A37" s="82"/>
      <c r="B37" s="91" t="s">
        <v>149</v>
      </c>
      <c r="C37" s="91">
        <v>21597</v>
      </c>
      <c r="D37" s="92" t="s">
        <v>199</v>
      </c>
      <c r="E37" s="85" t="s">
        <v>247</v>
      </c>
      <c r="F37" s="99" t="s">
        <v>232</v>
      </c>
      <c r="G37" s="86" t="s">
        <v>226</v>
      </c>
      <c r="H37" s="86" t="s">
        <v>227</v>
      </c>
      <c r="I37" s="65">
        <v>949505</v>
      </c>
      <c r="J37" s="65">
        <v>0</v>
      </c>
      <c r="K37" s="65">
        <v>0</v>
      </c>
      <c r="L37" s="87">
        <v>4518</v>
      </c>
      <c r="M37" s="65"/>
      <c r="N37" s="93">
        <f t="shared" si="21"/>
        <v>944987</v>
      </c>
      <c r="O37" s="93">
        <v>0</v>
      </c>
      <c r="P37" s="93">
        <f t="shared" si="22"/>
        <v>944987</v>
      </c>
      <c r="Q37" s="95">
        <v>0</v>
      </c>
      <c r="R37" s="95">
        <v>2500</v>
      </c>
      <c r="S37" s="96">
        <f t="shared" si="14"/>
        <v>2500</v>
      </c>
      <c r="T37" s="95">
        <f t="shared" si="15"/>
        <v>942487</v>
      </c>
      <c r="U37" s="65">
        <v>-167914</v>
      </c>
      <c r="V37" s="93">
        <f t="shared" si="20"/>
        <v>774573</v>
      </c>
      <c r="W37" s="87"/>
      <c r="X37" s="97">
        <v>150000</v>
      </c>
      <c r="Y37" s="97"/>
      <c r="Z37" s="93">
        <v>0</v>
      </c>
      <c r="AA37" s="87">
        <v>500</v>
      </c>
      <c r="AB37" s="87"/>
      <c r="AC37" s="87">
        <f t="shared" si="16"/>
        <v>150500</v>
      </c>
      <c r="AD37" s="87">
        <f t="shared" si="17"/>
        <v>624070</v>
      </c>
      <c r="AE37" s="98">
        <f t="shared" si="24"/>
        <v>37314</v>
      </c>
      <c r="AF37" s="87">
        <v>0</v>
      </c>
      <c r="AG37" s="90">
        <f t="shared" si="18"/>
        <v>1119.4199999999998</v>
      </c>
      <c r="AH37" s="89">
        <v>0</v>
      </c>
      <c r="AI37" s="89">
        <f t="shared" si="19"/>
        <v>38434</v>
      </c>
      <c r="AJ37" s="89">
        <v>38435</v>
      </c>
      <c r="AK37" s="89">
        <v>0</v>
      </c>
      <c r="AL37" s="89">
        <f t="shared" si="12"/>
        <v>38435</v>
      </c>
      <c r="AM37" s="65">
        <f t="shared" si="13"/>
        <v>-1</v>
      </c>
      <c r="AN37" s="75" t="s">
        <v>228</v>
      </c>
    </row>
    <row r="38" spans="1:44" s="122" customFormat="1" ht="12.75" customHeight="1" x14ac:dyDescent="0.2">
      <c r="A38" s="109"/>
      <c r="B38" s="110" t="s">
        <v>172</v>
      </c>
      <c r="C38" s="110">
        <v>23353</v>
      </c>
      <c r="D38" s="111" t="s">
        <v>222</v>
      </c>
      <c r="E38" s="109" t="s">
        <v>248</v>
      </c>
      <c r="F38" s="112" t="s">
        <v>232</v>
      </c>
      <c r="G38" s="113" t="s">
        <v>226</v>
      </c>
      <c r="H38" s="113" t="s">
        <v>227</v>
      </c>
      <c r="I38" s="114">
        <v>462624.5</v>
      </c>
      <c r="J38" s="114">
        <v>10758.35</v>
      </c>
      <c r="K38" s="114">
        <v>0</v>
      </c>
      <c r="L38" s="114">
        <v>2386</v>
      </c>
      <c r="M38" s="114"/>
      <c r="N38" s="115">
        <f t="shared" si="21"/>
        <v>470996.85</v>
      </c>
      <c r="O38" s="115">
        <v>0</v>
      </c>
      <c r="P38" s="115">
        <f t="shared" si="22"/>
        <v>470996.85</v>
      </c>
      <c r="Q38" s="116">
        <v>0</v>
      </c>
      <c r="R38" s="116">
        <v>2500</v>
      </c>
      <c r="S38" s="116">
        <f t="shared" si="14"/>
        <v>2500</v>
      </c>
      <c r="T38" s="116">
        <f t="shared" si="15"/>
        <v>468496.85</v>
      </c>
      <c r="U38" s="114"/>
      <c r="V38" s="115">
        <f t="shared" si="20"/>
        <v>468496.85</v>
      </c>
      <c r="W38" s="114"/>
      <c r="X38" s="115">
        <v>57829</v>
      </c>
      <c r="Y38" s="115"/>
      <c r="Z38" s="115">
        <v>0</v>
      </c>
      <c r="AA38" s="114">
        <v>500</v>
      </c>
      <c r="AB38" s="114"/>
      <c r="AC38" s="114">
        <f t="shared" si="16"/>
        <v>58329</v>
      </c>
      <c r="AD38" s="114">
        <f t="shared" si="17"/>
        <v>410170</v>
      </c>
      <c r="AE38" s="98">
        <f t="shared" si="24"/>
        <v>8008.5</v>
      </c>
      <c r="AF38" s="114">
        <v>0</v>
      </c>
      <c r="AG38" s="118">
        <f t="shared" si="18"/>
        <v>240.255</v>
      </c>
      <c r="AH38" s="119">
        <v>0</v>
      </c>
      <c r="AI38" s="119">
        <f t="shared" si="19"/>
        <v>8249</v>
      </c>
      <c r="AJ38" s="119">
        <f>7089+595</f>
        <v>7684</v>
      </c>
      <c r="AK38" s="119">
        <f>8249-AJ38</f>
        <v>565</v>
      </c>
      <c r="AL38" s="119">
        <f>AJ38+AK38</f>
        <v>8249</v>
      </c>
      <c r="AM38" s="114">
        <f t="shared" si="13"/>
        <v>0</v>
      </c>
      <c r="AN38" s="121" t="s">
        <v>228</v>
      </c>
      <c r="AO38" s="121"/>
      <c r="AP38" s="121"/>
      <c r="AQ38" s="121"/>
      <c r="AR38" s="114"/>
    </row>
    <row r="39" spans="1:44" ht="12.75" customHeight="1" x14ac:dyDescent="0.2">
      <c r="A39" s="82"/>
      <c r="B39" s="91" t="s">
        <v>150</v>
      </c>
      <c r="C39" s="91">
        <v>23416</v>
      </c>
      <c r="D39" s="92" t="s">
        <v>200</v>
      </c>
      <c r="E39" s="85" t="s">
        <v>249</v>
      </c>
      <c r="F39" s="99" t="s">
        <v>232</v>
      </c>
      <c r="G39" s="86" t="s">
        <v>226</v>
      </c>
      <c r="H39" s="86" t="s">
        <v>227</v>
      </c>
      <c r="I39" s="65">
        <v>464311</v>
      </c>
      <c r="J39" s="65">
        <v>0</v>
      </c>
      <c r="K39" s="65">
        <v>0</v>
      </c>
      <c r="L39" s="87">
        <v>4665</v>
      </c>
      <c r="M39" s="65"/>
      <c r="N39" s="93">
        <f t="shared" si="21"/>
        <v>459646</v>
      </c>
      <c r="O39" s="93">
        <v>0</v>
      </c>
      <c r="P39" s="93">
        <f t="shared" si="22"/>
        <v>459646</v>
      </c>
      <c r="Q39" s="95">
        <v>0</v>
      </c>
      <c r="R39" s="95">
        <v>2500</v>
      </c>
      <c r="S39" s="96">
        <f t="shared" si="14"/>
        <v>2500</v>
      </c>
      <c r="T39" s="95">
        <f t="shared" si="15"/>
        <v>457146</v>
      </c>
      <c r="U39" s="65"/>
      <c r="V39" s="93">
        <f t="shared" si="20"/>
        <v>457146</v>
      </c>
      <c r="W39" s="87"/>
      <c r="X39" s="97">
        <v>69912</v>
      </c>
      <c r="Y39" s="97"/>
      <c r="Z39" s="93">
        <v>0</v>
      </c>
      <c r="AA39" s="87">
        <v>500</v>
      </c>
      <c r="AB39" s="87"/>
      <c r="AC39" s="87">
        <f t="shared" si="16"/>
        <v>70412</v>
      </c>
      <c r="AD39" s="87">
        <f t="shared" si="17"/>
        <v>386730</v>
      </c>
      <c r="AE39" s="98">
        <f t="shared" si="24"/>
        <v>6836.5</v>
      </c>
      <c r="AF39" s="87">
        <v>0</v>
      </c>
      <c r="AG39" s="90">
        <f t="shared" si="18"/>
        <v>205.095</v>
      </c>
      <c r="AH39" s="89">
        <v>0</v>
      </c>
      <c r="AI39" s="89">
        <f t="shared" si="19"/>
        <v>7042</v>
      </c>
      <c r="AJ39" s="89">
        <v>7042</v>
      </c>
      <c r="AK39" s="89">
        <v>0</v>
      </c>
      <c r="AL39" s="89">
        <f t="shared" si="12"/>
        <v>7042</v>
      </c>
      <c r="AM39" s="65">
        <f t="shared" si="13"/>
        <v>0</v>
      </c>
      <c r="AN39" s="75" t="s">
        <v>228</v>
      </c>
    </row>
    <row r="40" spans="1:44" ht="12.75" customHeight="1" x14ac:dyDescent="0.2">
      <c r="A40" s="82"/>
      <c r="B40" s="91" t="s">
        <v>151</v>
      </c>
      <c r="C40" s="91">
        <v>23429</v>
      </c>
      <c r="D40" s="92" t="s">
        <v>201</v>
      </c>
      <c r="E40" s="85" t="s">
        <v>248</v>
      </c>
      <c r="F40" s="99" t="s">
        <v>232</v>
      </c>
      <c r="G40" s="86" t="s">
        <v>226</v>
      </c>
      <c r="H40" s="86" t="s">
        <v>227</v>
      </c>
      <c r="I40" s="65">
        <v>373986.38</v>
      </c>
      <c r="J40" s="65">
        <v>25744.65</v>
      </c>
      <c r="K40" s="65">
        <v>0</v>
      </c>
      <c r="L40" s="87">
        <v>1385</v>
      </c>
      <c r="M40" s="65"/>
      <c r="N40" s="93">
        <f t="shared" si="21"/>
        <v>398346.03</v>
      </c>
      <c r="O40" s="93">
        <v>0</v>
      </c>
      <c r="P40" s="93">
        <f t="shared" si="22"/>
        <v>398346.03</v>
      </c>
      <c r="Q40" s="95">
        <v>0</v>
      </c>
      <c r="R40" s="95">
        <v>2500</v>
      </c>
      <c r="S40" s="96">
        <f t="shared" si="14"/>
        <v>2500</v>
      </c>
      <c r="T40" s="95">
        <f t="shared" si="15"/>
        <v>395846.03</v>
      </c>
      <c r="U40" s="65"/>
      <c r="V40" s="93">
        <f t="shared" si="20"/>
        <v>395846.03</v>
      </c>
      <c r="W40" s="87"/>
      <c r="X40" s="97">
        <v>53028</v>
      </c>
      <c r="Y40" s="97"/>
      <c r="Z40" s="93">
        <v>0</v>
      </c>
      <c r="AA40" s="87">
        <v>500</v>
      </c>
      <c r="AB40" s="87"/>
      <c r="AC40" s="87">
        <f t="shared" si="16"/>
        <v>53528</v>
      </c>
      <c r="AD40" s="87">
        <f t="shared" si="17"/>
        <v>342320</v>
      </c>
      <c r="AE40" s="98">
        <f t="shared" si="24"/>
        <v>2116</v>
      </c>
      <c r="AF40" s="87">
        <v>0</v>
      </c>
      <c r="AG40" s="90">
        <f t="shared" si="18"/>
        <v>63.48</v>
      </c>
      <c r="AH40" s="89">
        <v>0</v>
      </c>
      <c r="AI40" s="89">
        <f t="shared" si="19"/>
        <v>2180</v>
      </c>
      <c r="AJ40" s="89">
        <f>1322+1350</f>
        <v>2672</v>
      </c>
      <c r="AK40" s="89">
        <v>0</v>
      </c>
      <c r="AL40" s="89">
        <f t="shared" si="12"/>
        <v>2672</v>
      </c>
      <c r="AM40" s="65">
        <f t="shared" si="13"/>
        <v>-492</v>
      </c>
      <c r="AN40" s="75" t="s">
        <v>228</v>
      </c>
    </row>
    <row r="41" spans="1:44" s="108" customFormat="1" ht="12.75" customHeight="1" x14ac:dyDescent="0.2">
      <c r="A41" s="100"/>
      <c r="B41" s="123" t="s">
        <v>152</v>
      </c>
      <c r="C41" s="83">
        <v>23828</v>
      </c>
      <c r="D41" s="84" t="s">
        <v>202</v>
      </c>
      <c r="E41" s="85" t="s">
        <v>249</v>
      </c>
      <c r="F41" s="100" t="s">
        <v>232</v>
      </c>
      <c r="G41" s="101" t="s">
        <v>226</v>
      </c>
      <c r="H41" s="101" t="s">
        <v>227</v>
      </c>
      <c r="I41" s="102">
        <v>184227</v>
      </c>
      <c r="J41" s="102">
        <v>0</v>
      </c>
      <c r="K41" s="102">
        <v>0</v>
      </c>
      <c r="L41" s="102">
        <v>3225</v>
      </c>
      <c r="M41" s="102"/>
      <c r="N41" s="103">
        <f t="shared" si="21"/>
        <v>181002</v>
      </c>
      <c r="O41" s="103">
        <v>0</v>
      </c>
      <c r="P41" s="103">
        <f t="shared" si="22"/>
        <v>181002</v>
      </c>
      <c r="Q41" s="104">
        <v>0</v>
      </c>
      <c r="R41" s="104">
        <v>2500</v>
      </c>
      <c r="S41" s="104">
        <f t="shared" si="14"/>
        <v>2500</v>
      </c>
      <c r="T41" s="104">
        <f t="shared" si="15"/>
        <v>178502</v>
      </c>
      <c r="U41" s="102"/>
      <c r="V41" s="103">
        <f t="shared" si="20"/>
        <v>178502</v>
      </c>
      <c r="W41" s="102"/>
      <c r="X41" s="103">
        <v>150000</v>
      </c>
      <c r="Y41" s="103"/>
      <c r="Z41" s="103">
        <v>0</v>
      </c>
      <c r="AA41" s="102">
        <v>500</v>
      </c>
      <c r="AB41" s="102"/>
      <c r="AC41" s="102">
        <f t="shared" si="16"/>
        <v>150500</v>
      </c>
      <c r="AD41" s="102">
        <f t="shared" si="17"/>
        <v>28000</v>
      </c>
      <c r="AE41" s="98">
        <f t="shared" si="24"/>
        <v>0</v>
      </c>
      <c r="AF41" s="102">
        <v>0</v>
      </c>
      <c r="AG41" s="105">
        <f t="shared" si="18"/>
        <v>0</v>
      </c>
      <c r="AH41" s="106">
        <v>0</v>
      </c>
      <c r="AI41" s="106">
        <f t="shared" si="19"/>
        <v>0</v>
      </c>
      <c r="AJ41" s="106">
        <v>1456</v>
      </c>
      <c r="AK41" s="106">
        <v>0</v>
      </c>
      <c r="AL41" s="106">
        <f t="shared" si="12"/>
        <v>1456</v>
      </c>
      <c r="AM41" s="102">
        <f t="shared" si="13"/>
        <v>-1456</v>
      </c>
      <c r="AN41" s="107" t="s">
        <v>228</v>
      </c>
      <c r="AO41" s="107"/>
      <c r="AP41" s="107"/>
      <c r="AQ41" s="107"/>
      <c r="AR41" s="102"/>
    </row>
    <row r="42" spans="1:44" ht="12.75" customHeight="1" x14ac:dyDescent="0.2">
      <c r="A42" s="82"/>
      <c r="B42" s="91" t="s">
        <v>153</v>
      </c>
      <c r="C42" s="91">
        <v>23990</v>
      </c>
      <c r="D42" s="92" t="s">
        <v>203</v>
      </c>
      <c r="E42" s="85" t="s">
        <v>250</v>
      </c>
      <c r="F42" s="99" t="s">
        <v>232</v>
      </c>
      <c r="G42" s="86" t="s">
        <v>226</v>
      </c>
      <c r="H42" s="86" t="s">
        <v>227</v>
      </c>
      <c r="I42" s="65">
        <v>869056</v>
      </c>
      <c r="J42" s="65">
        <v>0</v>
      </c>
      <c r="K42" s="65">
        <v>0</v>
      </c>
      <c r="L42" s="87">
        <v>19040</v>
      </c>
      <c r="M42" s="65"/>
      <c r="N42" s="93">
        <f t="shared" si="21"/>
        <v>850016</v>
      </c>
      <c r="O42" s="93">
        <v>0</v>
      </c>
      <c r="P42" s="93">
        <f t="shared" si="22"/>
        <v>850016</v>
      </c>
      <c r="Q42" s="95">
        <v>0</v>
      </c>
      <c r="R42" s="95">
        <v>2500</v>
      </c>
      <c r="S42" s="96">
        <f t="shared" si="14"/>
        <v>2500</v>
      </c>
      <c r="T42" s="95">
        <f t="shared" si="15"/>
        <v>847516</v>
      </c>
      <c r="U42" s="65"/>
      <c r="V42" s="93">
        <f t="shared" si="20"/>
        <v>847516</v>
      </c>
      <c r="W42" s="87"/>
      <c r="X42" s="97">
        <v>107560</v>
      </c>
      <c r="Y42" s="97"/>
      <c r="Z42" s="93">
        <v>0</v>
      </c>
      <c r="AA42" s="87">
        <v>500</v>
      </c>
      <c r="AB42" s="87"/>
      <c r="AC42" s="87">
        <f t="shared" si="16"/>
        <v>108060</v>
      </c>
      <c r="AD42" s="87">
        <f t="shared" si="17"/>
        <v>739460</v>
      </c>
      <c r="AE42" s="98">
        <f t="shared" si="24"/>
        <v>60392</v>
      </c>
      <c r="AF42" s="87">
        <v>0</v>
      </c>
      <c r="AG42" s="90">
        <f t="shared" si="18"/>
        <v>1811.76</v>
      </c>
      <c r="AH42" s="89">
        <v>0</v>
      </c>
      <c r="AI42" s="89">
        <f t="shared" si="19"/>
        <v>62204</v>
      </c>
      <c r="AJ42" s="89">
        <v>62204</v>
      </c>
      <c r="AK42" s="89">
        <v>0</v>
      </c>
      <c r="AL42" s="89">
        <f t="shared" si="12"/>
        <v>62204</v>
      </c>
      <c r="AM42" s="65">
        <f t="shared" si="13"/>
        <v>0</v>
      </c>
      <c r="AN42" s="75" t="s">
        <v>228</v>
      </c>
    </row>
    <row r="43" spans="1:44" ht="12.75" customHeight="1" x14ac:dyDescent="0.2">
      <c r="A43" s="82"/>
      <c r="B43" s="91" t="s">
        <v>154</v>
      </c>
      <c r="C43" s="91">
        <v>23991</v>
      </c>
      <c r="D43" s="92" t="s">
        <v>204</v>
      </c>
      <c r="E43" s="85" t="s">
        <v>250</v>
      </c>
      <c r="F43" s="99" t="s">
        <v>232</v>
      </c>
      <c r="G43" s="86" t="s">
        <v>226</v>
      </c>
      <c r="H43" s="86" t="s">
        <v>227</v>
      </c>
      <c r="I43" s="65">
        <v>835906</v>
      </c>
      <c r="J43" s="65">
        <v>0</v>
      </c>
      <c r="K43" s="65">
        <v>0</v>
      </c>
      <c r="L43" s="87">
        <v>11478</v>
      </c>
      <c r="M43" s="65"/>
      <c r="N43" s="93">
        <f t="shared" si="21"/>
        <v>824428</v>
      </c>
      <c r="O43" s="93">
        <v>0</v>
      </c>
      <c r="P43" s="93">
        <f t="shared" si="22"/>
        <v>824428</v>
      </c>
      <c r="Q43" s="95">
        <v>0</v>
      </c>
      <c r="R43" s="95">
        <v>2500</v>
      </c>
      <c r="S43" s="96">
        <f t="shared" si="14"/>
        <v>2500</v>
      </c>
      <c r="T43" s="95">
        <f t="shared" si="15"/>
        <v>821928</v>
      </c>
      <c r="U43" s="65"/>
      <c r="V43" s="93">
        <f t="shared" si="20"/>
        <v>821928</v>
      </c>
      <c r="W43" s="87"/>
      <c r="X43" s="97">
        <v>150000</v>
      </c>
      <c r="Y43" s="97"/>
      <c r="Z43" s="93">
        <v>0</v>
      </c>
      <c r="AA43" s="87">
        <v>500</v>
      </c>
      <c r="AB43" s="87"/>
      <c r="AC43" s="87">
        <f t="shared" si="16"/>
        <v>150500</v>
      </c>
      <c r="AD43" s="87">
        <f t="shared" si="17"/>
        <v>671430</v>
      </c>
      <c r="AE43" s="98">
        <f t="shared" si="24"/>
        <v>46786</v>
      </c>
      <c r="AF43" s="87">
        <v>0</v>
      </c>
      <c r="AG43" s="90">
        <f t="shared" si="18"/>
        <v>1403.58</v>
      </c>
      <c r="AH43" s="89">
        <v>0</v>
      </c>
      <c r="AI43" s="89">
        <f t="shared" si="19"/>
        <v>48190</v>
      </c>
      <c r="AJ43" s="89">
        <v>48190</v>
      </c>
      <c r="AK43" s="89">
        <v>0</v>
      </c>
      <c r="AL43" s="89">
        <f t="shared" si="12"/>
        <v>48190</v>
      </c>
      <c r="AM43" s="65">
        <f t="shared" si="13"/>
        <v>0</v>
      </c>
      <c r="AN43" s="75" t="s">
        <v>228</v>
      </c>
    </row>
    <row r="44" spans="1:44" ht="12.75" customHeight="1" x14ac:dyDescent="0.2">
      <c r="A44" s="82"/>
      <c r="B44" s="91" t="s">
        <v>155</v>
      </c>
      <c r="C44" s="91">
        <v>23992</v>
      </c>
      <c r="D44" s="92" t="s">
        <v>205</v>
      </c>
      <c r="E44" s="85" t="s">
        <v>237</v>
      </c>
      <c r="F44" s="99" t="s">
        <v>232</v>
      </c>
      <c r="G44" s="86" t="s">
        <v>226</v>
      </c>
      <c r="H44" s="86" t="s">
        <v>227</v>
      </c>
      <c r="I44" s="65">
        <v>478270</v>
      </c>
      <c r="J44" s="65">
        <v>0</v>
      </c>
      <c r="K44" s="65">
        <v>0</v>
      </c>
      <c r="L44" s="87">
        <v>4860</v>
      </c>
      <c r="M44" s="65"/>
      <c r="N44" s="93">
        <f t="shared" si="21"/>
        <v>473410</v>
      </c>
      <c r="O44" s="93">
        <v>0</v>
      </c>
      <c r="P44" s="93">
        <f t="shared" si="22"/>
        <v>473410</v>
      </c>
      <c r="Q44" s="95">
        <v>0</v>
      </c>
      <c r="R44" s="95">
        <v>2500</v>
      </c>
      <c r="S44" s="96">
        <f t="shared" si="14"/>
        <v>2500</v>
      </c>
      <c r="T44" s="95">
        <f t="shared" si="15"/>
        <v>470910</v>
      </c>
      <c r="U44" s="65">
        <v>-103216</v>
      </c>
      <c r="V44" s="93">
        <f t="shared" si="20"/>
        <v>367694</v>
      </c>
      <c r="W44" s="87"/>
      <c r="X44" s="97">
        <v>72822</v>
      </c>
      <c r="Y44" s="97"/>
      <c r="Z44" s="93">
        <v>0</v>
      </c>
      <c r="AA44" s="87">
        <v>500</v>
      </c>
      <c r="AB44" s="87"/>
      <c r="AC44" s="87">
        <f t="shared" si="16"/>
        <v>73322</v>
      </c>
      <c r="AD44" s="87">
        <f t="shared" si="17"/>
        <v>294370</v>
      </c>
      <c r="AE44" s="98">
        <f>IF((AD44&gt;1000000),(((AD44-1000000)*30%)+112500),(IF((AD44&gt;500000),((AD44-500000)*20%+12500),IF(AD44&gt;350000,((AD44-250000)*5%),IF(AD44&gt;300000,((AD44-250000)*5%-2500),0)))))</f>
        <v>0</v>
      </c>
      <c r="AF44" s="87">
        <v>0</v>
      </c>
      <c r="AG44" s="90">
        <f t="shared" si="18"/>
        <v>0</v>
      </c>
      <c r="AH44" s="89">
        <v>0</v>
      </c>
      <c r="AI44" s="89">
        <f t="shared" si="19"/>
        <v>0</v>
      </c>
      <c r="AJ44" s="89">
        <v>324</v>
      </c>
      <c r="AK44" s="89">
        <v>0</v>
      </c>
      <c r="AL44" s="89">
        <f t="shared" si="12"/>
        <v>324</v>
      </c>
      <c r="AM44" s="65">
        <f t="shared" si="13"/>
        <v>-324</v>
      </c>
      <c r="AN44" s="75" t="s">
        <v>228</v>
      </c>
    </row>
    <row r="45" spans="1:44" ht="12.75" customHeight="1" x14ac:dyDescent="0.2">
      <c r="A45" s="82"/>
      <c r="B45" s="91" t="s">
        <v>156</v>
      </c>
      <c r="C45" s="91">
        <v>24077</v>
      </c>
      <c r="D45" s="92" t="s">
        <v>206</v>
      </c>
      <c r="E45" s="85" t="s">
        <v>250</v>
      </c>
      <c r="F45" s="99" t="s">
        <v>230</v>
      </c>
      <c r="G45" s="86" t="s">
        <v>226</v>
      </c>
      <c r="H45" s="86" t="s">
        <v>227</v>
      </c>
      <c r="I45" s="65">
        <v>842880</v>
      </c>
      <c r="J45" s="65">
        <v>0</v>
      </c>
      <c r="K45" s="65">
        <v>0</v>
      </c>
      <c r="L45" s="87">
        <v>1500</v>
      </c>
      <c r="M45" s="65"/>
      <c r="N45" s="93">
        <f t="shared" si="21"/>
        <v>841380</v>
      </c>
      <c r="O45" s="93">
        <v>0</v>
      </c>
      <c r="P45" s="93">
        <f t="shared" si="22"/>
        <v>841380</v>
      </c>
      <c r="Q45" s="95">
        <v>0</v>
      </c>
      <c r="R45" s="95">
        <v>2500</v>
      </c>
      <c r="S45" s="96">
        <f t="shared" si="14"/>
        <v>2500</v>
      </c>
      <c r="T45" s="95">
        <f t="shared" si="15"/>
        <v>838880</v>
      </c>
      <c r="U45" s="65"/>
      <c r="V45" s="93">
        <f t="shared" si="20"/>
        <v>838880</v>
      </c>
      <c r="W45" s="87"/>
      <c r="X45" s="97">
        <v>150000</v>
      </c>
      <c r="Y45" s="97"/>
      <c r="Z45" s="93">
        <v>0</v>
      </c>
      <c r="AA45" s="87">
        <v>500</v>
      </c>
      <c r="AB45" s="87"/>
      <c r="AC45" s="87">
        <f t="shared" si="16"/>
        <v>150500</v>
      </c>
      <c r="AD45" s="87">
        <f t="shared" si="17"/>
        <v>688380</v>
      </c>
      <c r="AE45" s="98">
        <f t="shared" ref="AE45:AE53" si="25">IF((AD45&gt;1000000),(((AD45-1000000)*30%)+112500),(IF((AD45&gt;500000),((AD45-500000)*20%+12500),IF(AD45&gt;350000,((AD45-250000)*5%),IF(AD45&gt;300000,((AD45-250000)*5%-2500),0)))))</f>
        <v>50176</v>
      </c>
      <c r="AF45" s="87">
        <v>0</v>
      </c>
      <c r="AG45" s="90">
        <f t="shared" si="18"/>
        <v>1505.28</v>
      </c>
      <c r="AH45" s="89">
        <v>0</v>
      </c>
      <c r="AI45" s="89">
        <f t="shared" si="19"/>
        <v>51682</v>
      </c>
      <c r="AJ45" s="89">
        <v>51682</v>
      </c>
      <c r="AK45" s="89">
        <v>0</v>
      </c>
      <c r="AL45" s="89">
        <f t="shared" si="12"/>
        <v>51682</v>
      </c>
      <c r="AM45" s="65">
        <f t="shared" si="13"/>
        <v>0</v>
      </c>
      <c r="AN45" s="75" t="s">
        <v>228</v>
      </c>
    </row>
    <row r="46" spans="1:44" ht="12.75" customHeight="1" x14ac:dyDescent="0.2">
      <c r="A46" s="82"/>
      <c r="B46" s="91" t="s">
        <v>157</v>
      </c>
      <c r="C46" s="91">
        <v>24121</v>
      </c>
      <c r="D46" s="92" t="s">
        <v>207</v>
      </c>
      <c r="E46" s="85" t="s">
        <v>250</v>
      </c>
      <c r="F46" s="99" t="s">
        <v>230</v>
      </c>
      <c r="G46" s="86" t="s">
        <v>226</v>
      </c>
      <c r="H46" s="86" t="s">
        <v>227</v>
      </c>
      <c r="I46" s="65">
        <v>763667</v>
      </c>
      <c r="J46" s="65">
        <v>0</v>
      </c>
      <c r="K46" s="65">
        <v>0</v>
      </c>
      <c r="L46" s="87">
        <v>1463</v>
      </c>
      <c r="M46" s="65"/>
      <c r="N46" s="93">
        <f t="shared" si="21"/>
        <v>762204</v>
      </c>
      <c r="O46" s="93">
        <v>0</v>
      </c>
      <c r="P46" s="93">
        <f t="shared" si="22"/>
        <v>762204</v>
      </c>
      <c r="Q46" s="95">
        <v>0</v>
      </c>
      <c r="R46" s="95">
        <v>2500</v>
      </c>
      <c r="S46" s="96">
        <f t="shared" si="14"/>
        <v>2500</v>
      </c>
      <c r="T46" s="95">
        <f t="shared" si="15"/>
        <v>759704</v>
      </c>
      <c r="U46" s="65">
        <v>-200000</v>
      </c>
      <c r="V46" s="93">
        <f t="shared" si="20"/>
        <v>559704</v>
      </c>
      <c r="W46" s="87"/>
      <c r="X46" s="97">
        <v>150000</v>
      </c>
      <c r="Y46" s="97"/>
      <c r="Z46" s="93">
        <v>0</v>
      </c>
      <c r="AA46" s="87">
        <v>500</v>
      </c>
      <c r="AB46" s="87"/>
      <c r="AC46" s="87">
        <f t="shared" si="16"/>
        <v>150500</v>
      </c>
      <c r="AD46" s="87">
        <f t="shared" si="17"/>
        <v>409200</v>
      </c>
      <c r="AE46" s="98">
        <f t="shared" si="25"/>
        <v>7960</v>
      </c>
      <c r="AF46" s="87">
        <v>0</v>
      </c>
      <c r="AG46" s="90">
        <f t="shared" si="18"/>
        <v>238.79999999999998</v>
      </c>
      <c r="AH46" s="89">
        <v>0</v>
      </c>
      <c r="AI46" s="89">
        <f t="shared" si="19"/>
        <v>8199</v>
      </c>
      <c r="AJ46" s="89">
        <v>11824</v>
      </c>
      <c r="AK46" s="89">
        <v>0</v>
      </c>
      <c r="AL46" s="89">
        <f t="shared" si="12"/>
        <v>11824</v>
      </c>
      <c r="AM46" s="65">
        <f t="shared" si="13"/>
        <v>-3625</v>
      </c>
      <c r="AN46" s="75" t="s">
        <v>228</v>
      </c>
    </row>
    <row r="47" spans="1:44" ht="12.75" customHeight="1" x14ac:dyDescent="0.2">
      <c r="A47" s="82"/>
      <c r="B47" s="91" t="s">
        <v>158</v>
      </c>
      <c r="C47" s="91">
        <v>24281</v>
      </c>
      <c r="D47" s="92" t="s">
        <v>208</v>
      </c>
      <c r="E47" s="85" t="s">
        <v>251</v>
      </c>
      <c r="F47" s="99" t="s">
        <v>232</v>
      </c>
      <c r="G47" s="86" t="s">
        <v>226</v>
      </c>
      <c r="H47" s="86" t="s">
        <v>227</v>
      </c>
      <c r="I47" s="65">
        <v>840014</v>
      </c>
      <c r="J47" s="65">
        <v>0</v>
      </c>
      <c r="K47" s="65">
        <v>0</v>
      </c>
      <c r="L47" s="87">
        <v>1475</v>
      </c>
      <c r="M47" s="65"/>
      <c r="N47" s="93">
        <f t="shared" si="21"/>
        <v>838539</v>
      </c>
      <c r="O47" s="93">
        <v>0</v>
      </c>
      <c r="P47" s="93">
        <f t="shared" si="22"/>
        <v>838539</v>
      </c>
      <c r="Q47" s="95">
        <v>0</v>
      </c>
      <c r="R47" s="95">
        <v>2500</v>
      </c>
      <c r="S47" s="96">
        <f t="shared" si="14"/>
        <v>2500</v>
      </c>
      <c r="T47" s="95">
        <f t="shared" si="15"/>
        <v>836039</v>
      </c>
      <c r="U47" s="65">
        <v>-122447</v>
      </c>
      <c r="V47" s="93">
        <f t="shared" si="20"/>
        <v>713592</v>
      </c>
      <c r="W47" s="87"/>
      <c r="X47" s="97">
        <v>150000</v>
      </c>
      <c r="Y47" s="97"/>
      <c r="Z47" s="93">
        <v>0</v>
      </c>
      <c r="AA47" s="87">
        <v>6700</v>
      </c>
      <c r="AB47" s="87"/>
      <c r="AC47" s="87">
        <f t="shared" si="16"/>
        <v>156700</v>
      </c>
      <c r="AD47" s="87">
        <f t="shared" si="17"/>
        <v>556890</v>
      </c>
      <c r="AE47" s="98">
        <f t="shared" si="25"/>
        <v>23878</v>
      </c>
      <c r="AF47" s="87">
        <v>0</v>
      </c>
      <c r="AG47" s="90">
        <f t="shared" si="18"/>
        <v>716.33999999999992</v>
      </c>
      <c r="AH47" s="89">
        <v>0</v>
      </c>
      <c r="AI47" s="89">
        <f t="shared" si="19"/>
        <v>24595</v>
      </c>
      <c r="AJ47" s="89">
        <v>33326</v>
      </c>
      <c r="AK47" s="89">
        <v>0</v>
      </c>
      <c r="AL47" s="89">
        <f t="shared" si="12"/>
        <v>33326</v>
      </c>
      <c r="AM47" s="65">
        <f t="shared" si="13"/>
        <v>-8731</v>
      </c>
      <c r="AN47" s="75" t="s">
        <v>228</v>
      </c>
    </row>
    <row r="48" spans="1:44" ht="12.75" customHeight="1" x14ac:dyDescent="0.2">
      <c r="A48" s="82"/>
      <c r="B48" s="91" t="s">
        <v>159</v>
      </c>
      <c r="C48" s="91">
        <v>24387</v>
      </c>
      <c r="D48" s="92" t="s">
        <v>209</v>
      </c>
      <c r="E48" s="85" t="s">
        <v>252</v>
      </c>
      <c r="F48" s="99" t="s">
        <v>230</v>
      </c>
      <c r="G48" s="86" t="s">
        <v>226</v>
      </c>
      <c r="H48" s="86" t="s">
        <v>227</v>
      </c>
      <c r="I48" s="65">
        <v>844659</v>
      </c>
      <c r="J48" s="65">
        <v>0</v>
      </c>
      <c r="K48" s="65">
        <v>0</v>
      </c>
      <c r="L48" s="87">
        <v>1419</v>
      </c>
      <c r="M48" s="65"/>
      <c r="N48" s="93">
        <f t="shared" si="21"/>
        <v>843240</v>
      </c>
      <c r="O48" s="93">
        <v>0</v>
      </c>
      <c r="P48" s="93">
        <f t="shared" si="22"/>
        <v>843240</v>
      </c>
      <c r="Q48" s="95">
        <v>0</v>
      </c>
      <c r="R48" s="95">
        <v>2500</v>
      </c>
      <c r="S48" s="96">
        <f t="shared" si="14"/>
        <v>2500</v>
      </c>
      <c r="T48" s="95">
        <f t="shared" si="15"/>
        <v>840740</v>
      </c>
      <c r="U48" s="89">
        <v>-108814</v>
      </c>
      <c r="V48" s="93">
        <f t="shared" si="20"/>
        <v>731926</v>
      </c>
      <c r="W48" s="87"/>
      <c r="X48" s="97">
        <v>150000</v>
      </c>
      <c r="Y48" s="97"/>
      <c r="Z48" s="93">
        <v>0</v>
      </c>
      <c r="AA48" s="87">
        <v>500</v>
      </c>
      <c r="AB48" s="87"/>
      <c r="AC48" s="87">
        <f t="shared" si="16"/>
        <v>150500</v>
      </c>
      <c r="AD48" s="87">
        <f t="shared" si="17"/>
        <v>581430</v>
      </c>
      <c r="AE48" s="98">
        <f t="shared" si="25"/>
        <v>28786</v>
      </c>
      <c r="AF48" s="87">
        <v>0</v>
      </c>
      <c r="AG48" s="90">
        <f t="shared" si="18"/>
        <v>863.57999999999993</v>
      </c>
      <c r="AH48" s="89">
        <v>0</v>
      </c>
      <c r="AI48" s="89">
        <f t="shared" si="19"/>
        <v>29650</v>
      </c>
      <c r="AJ48" s="89">
        <v>29650</v>
      </c>
      <c r="AK48" s="89">
        <v>0</v>
      </c>
      <c r="AL48" s="89">
        <f t="shared" si="12"/>
        <v>29650</v>
      </c>
      <c r="AM48" s="65">
        <f t="shared" si="13"/>
        <v>0</v>
      </c>
      <c r="AN48" s="75" t="s">
        <v>228</v>
      </c>
    </row>
    <row r="49" spans="1:40" ht="12.75" customHeight="1" x14ac:dyDescent="0.2">
      <c r="A49" s="82"/>
      <c r="B49" s="91" t="s">
        <v>166</v>
      </c>
      <c r="C49" s="91">
        <v>24413</v>
      </c>
      <c r="D49" s="92" t="s">
        <v>216</v>
      </c>
      <c r="E49" s="85" t="s">
        <v>253</v>
      </c>
      <c r="F49" s="99" t="s">
        <v>232</v>
      </c>
      <c r="G49" s="86" t="s">
        <v>226</v>
      </c>
      <c r="H49" s="86" t="s">
        <v>227</v>
      </c>
      <c r="I49" s="65">
        <v>262858</v>
      </c>
      <c r="J49" s="65">
        <v>0</v>
      </c>
      <c r="K49" s="65">
        <v>0</v>
      </c>
      <c r="L49" s="87">
        <v>2523</v>
      </c>
      <c r="M49" s="65"/>
      <c r="N49" s="93">
        <f t="shared" si="21"/>
        <v>260335</v>
      </c>
      <c r="O49" s="93">
        <v>0</v>
      </c>
      <c r="P49" s="93">
        <f t="shared" si="22"/>
        <v>260335</v>
      </c>
      <c r="Q49" s="95">
        <v>0</v>
      </c>
      <c r="R49" s="95">
        <v>1900</v>
      </c>
      <c r="S49" s="96">
        <f t="shared" si="14"/>
        <v>1900</v>
      </c>
      <c r="T49" s="95">
        <f t="shared" si="15"/>
        <v>258435</v>
      </c>
      <c r="U49" s="65"/>
      <c r="V49" s="93">
        <f t="shared" si="20"/>
        <v>258435</v>
      </c>
      <c r="W49" s="87"/>
      <c r="X49" s="97">
        <v>24187</v>
      </c>
      <c r="Y49" s="97"/>
      <c r="Z49" s="93">
        <v>0</v>
      </c>
      <c r="AA49" s="87">
        <v>500</v>
      </c>
      <c r="AB49" s="87"/>
      <c r="AC49" s="87">
        <f t="shared" si="16"/>
        <v>24687</v>
      </c>
      <c r="AD49" s="87">
        <f t="shared" si="17"/>
        <v>233750</v>
      </c>
      <c r="AE49" s="98">
        <f t="shared" si="25"/>
        <v>0</v>
      </c>
      <c r="AF49" s="87">
        <v>0</v>
      </c>
      <c r="AG49" s="90">
        <f t="shared" si="18"/>
        <v>0</v>
      </c>
      <c r="AH49" s="89">
        <v>0</v>
      </c>
      <c r="AI49" s="89">
        <f t="shared" si="19"/>
        <v>0</v>
      </c>
      <c r="AJ49" s="89">
        <v>159</v>
      </c>
      <c r="AK49" s="89">
        <v>0</v>
      </c>
      <c r="AL49" s="89">
        <f t="shared" si="12"/>
        <v>159</v>
      </c>
      <c r="AM49" s="65">
        <f t="shared" si="13"/>
        <v>-159</v>
      </c>
      <c r="AN49" s="75" t="s">
        <v>228</v>
      </c>
    </row>
    <row r="50" spans="1:40" ht="12.75" customHeight="1" x14ac:dyDescent="0.2">
      <c r="A50" s="82"/>
      <c r="B50" s="91" t="s">
        <v>160</v>
      </c>
      <c r="C50" s="91">
        <v>24759</v>
      </c>
      <c r="D50" s="92" t="s">
        <v>210</v>
      </c>
      <c r="E50" s="85" t="s">
        <v>250</v>
      </c>
      <c r="F50" s="99" t="s">
        <v>232</v>
      </c>
      <c r="G50" s="86" t="s">
        <v>226</v>
      </c>
      <c r="H50" s="86" t="s">
        <v>227</v>
      </c>
      <c r="I50" s="65">
        <v>713650</v>
      </c>
      <c r="J50" s="65">
        <v>0</v>
      </c>
      <c r="K50" s="65">
        <v>0</v>
      </c>
      <c r="L50" s="88">
        <v>1393</v>
      </c>
      <c r="M50" s="65"/>
      <c r="N50" s="93">
        <f t="shared" si="21"/>
        <v>712257</v>
      </c>
      <c r="O50" s="93">
        <v>0</v>
      </c>
      <c r="P50" s="93">
        <f t="shared" si="22"/>
        <v>712257</v>
      </c>
      <c r="Q50" s="95">
        <v>0</v>
      </c>
      <c r="R50" s="95">
        <v>2500</v>
      </c>
      <c r="S50" s="96">
        <f t="shared" si="14"/>
        <v>2500</v>
      </c>
      <c r="T50" s="95">
        <f t="shared" si="15"/>
        <v>709757</v>
      </c>
      <c r="U50" s="65"/>
      <c r="V50" s="93">
        <f t="shared" si="20"/>
        <v>709757</v>
      </c>
      <c r="W50" s="87"/>
      <c r="X50" s="97">
        <v>150000</v>
      </c>
      <c r="Y50" s="97"/>
      <c r="Z50" s="93">
        <v>0</v>
      </c>
      <c r="AA50" s="87">
        <v>500</v>
      </c>
      <c r="AB50" s="87"/>
      <c r="AC50" s="87">
        <f t="shared" si="16"/>
        <v>150500</v>
      </c>
      <c r="AD50" s="87">
        <f t="shared" si="17"/>
        <v>559260</v>
      </c>
      <c r="AE50" s="98">
        <f t="shared" si="25"/>
        <v>24352</v>
      </c>
      <c r="AF50" s="87">
        <v>0</v>
      </c>
      <c r="AG50" s="90">
        <f t="shared" si="18"/>
        <v>730.56</v>
      </c>
      <c r="AH50" s="89">
        <v>0</v>
      </c>
      <c r="AI50" s="89">
        <f t="shared" si="19"/>
        <v>25083</v>
      </c>
      <c r="AJ50" s="89">
        <v>25083</v>
      </c>
      <c r="AK50" s="89">
        <v>0</v>
      </c>
      <c r="AL50" s="89">
        <f t="shared" si="12"/>
        <v>25083</v>
      </c>
      <c r="AM50" s="65">
        <f t="shared" si="13"/>
        <v>0</v>
      </c>
      <c r="AN50" s="75" t="s">
        <v>228</v>
      </c>
    </row>
    <row r="51" spans="1:40" ht="12.75" customHeight="1" x14ac:dyDescent="0.2">
      <c r="A51" s="82"/>
      <c r="B51" s="91" t="s">
        <v>161</v>
      </c>
      <c r="C51" s="91">
        <v>24774</v>
      </c>
      <c r="D51" s="92" t="s">
        <v>211</v>
      </c>
      <c r="E51" s="85" t="s">
        <v>250</v>
      </c>
      <c r="F51" s="99" t="s">
        <v>232</v>
      </c>
      <c r="G51" s="86" t="s">
        <v>226</v>
      </c>
      <c r="H51" s="86" t="s">
        <v>227</v>
      </c>
      <c r="I51" s="65">
        <v>629585.73</v>
      </c>
      <c r="J51" s="65">
        <v>45036</v>
      </c>
      <c r="K51" s="65">
        <v>0</v>
      </c>
      <c r="L51" s="87">
        <v>1456</v>
      </c>
      <c r="M51" s="65"/>
      <c r="N51" s="93">
        <f t="shared" si="21"/>
        <v>673165.73</v>
      </c>
      <c r="O51" s="93">
        <v>0</v>
      </c>
      <c r="P51" s="93">
        <f t="shared" si="22"/>
        <v>673165.73</v>
      </c>
      <c r="Q51" s="95">
        <v>0</v>
      </c>
      <c r="R51" s="95">
        <v>2500</v>
      </c>
      <c r="S51" s="96">
        <f t="shared" si="14"/>
        <v>2500</v>
      </c>
      <c r="T51" s="95">
        <f t="shared" si="15"/>
        <v>670665.73</v>
      </c>
      <c r="U51" s="65"/>
      <c r="V51" s="93">
        <f t="shared" si="20"/>
        <v>670665.73</v>
      </c>
      <c r="W51" s="87"/>
      <c r="X51" s="97">
        <v>109288</v>
      </c>
      <c r="Y51" s="97"/>
      <c r="Z51" s="93">
        <v>0</v>
      </c>
      <c r="AA51" s="87">
        <v>500</v>
      </c>
      <c r="AB51" s="87"/>
      <c r="AC51" s="87">
        <f t="shared" si="16"/>
        <v>109788</v>
      </c>
      <c r="AD51" s="87">
        <f t="shared" si="17"/>
        <v>560880</v>
      </c>
      <c r="AE51" s="98">
        <f t="shared" si="25"/>
        <v>24676</v>
      </c>
      <c r="AF51" s="87">
        <v>0</v>
      </c>
      <c r="AG51" s="90">
        <f t="shared" si="18"/>
        <v>740.28</v>
      </c>
      <c r="AH51" s="89">
        <v>0</v>
      </c>
      <c r="AI51" s="89">
        <f t="shared" si="19"/>
        <v>25417</v>
      </c>
      <c r="AJ51" s="89">
        <f>17425+9473</f>
        <v>26898</v>
      </c>
      <c r="AK51" s="89">
        <v>0</v>
      </c>
      <c r="AL51" s="89">
        <f t="shared" si="12"/>
        <v>26898</v>
      </c>
      <c r="AM51" s="65">
        <f t="shared" si="13"/>
        <v>-1481</v>
      </c>
      <c r="AN51" s="75" t="s">
        <v>228</v>
      </c>
    </row>
    <row r="52" spans="1:40" ht="12.75" customHeight="1" x14ac:dyDescent="0.2">
      <c r="A52" s="82"/>
      <c r="B52" s="91" t="s">
        <v>162</v>
      </c>
      <c r="C52" s="91">
        <v>25010</v>
      </c>
      <c r="D52" s="92" t="s">
        <v>212</v>
      </c>
      <c r="E52" s="85" t="s">
        <v>250</v>
      </c>
      <c r="F52" s="99" t="s">
        <v>232</v>
      </c>
      <c r="G52" s="86" t="s">
        <v>226</v>
      </c>
      <c r="H52" s="86" t="s">
        <v>227</v>
      </c>
      <c r="I52" s="65">
        <v>720290</v>
      </c>
      <c r="J52" s="65">
        <v>0</v>
      </c>
      <c r="K52" s="65">
        <v>0</v>
      </c>
      <c r="L52" s="87">
        <v>12636</v>
      </c>
      <c r="M52" s="65"/>
      <c r="N52" s="93">
        <f t="shared" si="21"/>
        <v>707654</v>
      </c>
      <c r="O52" s="93">
        <v>0</v>
      </c>
      <c r="P52" s="93">
        <f t="shared" si="22"/>
        <v>707654</v>
      </c>
      <c r="Q52" s="95">
        <v>0</v>
      </c>
      <c r="R52" s="95">
        <v>2500</v>
      </c>
      <c r="S52" s="96">
        <f t="shared" si="14"/>
        <v>2500</v>
      </c>
      <c r="T52" s="95">
        <f t="shared" si="15"/>
        <v>705154</v>
      </c>
      <c r="U52" s="65"/>
      <c r="V52" s="93">
        <f t="shared" si="20"/>
        <v>705154</v>
      </c>
      <c r="W52" s="87"/>
      <c r="X52" s="97">
        <v>145759</v>
      </c>
      <c r="Y52" s="97"/>
      <c r="Z52" s="93">
        <v>0</v>
      </c>
      <c r="AA52" s="87">
        <v>500</v>
      </c>
      <c r="AB52" s="87"/>
      <c r="AC52" s="87">
        <f t="shared" si="16"/>
        <v>146259</v>
      </c>
      <c r="AD52" s="87">
        <f t="shared" si="17"/>
        <v>558900</v>
      </c>
      <c r="AE52" s="98">
        <f t="shared" si="25"/>
        <v>24280</v>
      </c>
      <c r="AF52" s="87">
        <v>0</v>
      </c>
      <c r="AG52" s="90">
        <f t="shared" si="18"/>
        <v>728.4</v>
      </c>
      <c r="AH52" s="89">
        <v>0</v>
      </c>
      <c r="AI52" s="89">
        <f t="shared" si="19"/>
        <v>25009</v>
      </c>
      <c r="AJ52" s="89">
        <v>25009</v>
      </c>
      <c r="AK52" s="89">
        <v>0</v>
      </c>
      <c r="AL52" s="89">
        <f t="shared" si="12"/>
        <v>25009</v>
      </c>
      <c r="AM52" s="65">
        <f t="shared" si="13"/>
        <v>0</v>
      </c>
      <c r="AN52" s="75" t="s">
        <v>228</v>
      </c>
    </row>
    <row r="53" spans="1:40" ht="12.75" customHeight="1" x14ac:dyDescent="0.2">
      <c r="A53" s="82"/>
      <c r="B53" s="91" t="s">
        <v>174</v>
      </c>
      <c r="C53" s="91">
        <v>25542</v>
      </c>
      <c r="D53" s="92" t="s">
        <v>224</v>
      </c>
      <c r="E53" s="85" t="s">
        <v>250</v>
      </c>
      <c r="F53" s="99" t="s">
        <v>230</v>
      </c>
      <c r="G53" s="86" t="s">
        <v>226</v>
      </c>
      <c r="H53" s="86" t="s">
        <v>227</v>
      </c>
      <c r="I53" s="89">
        <v>476814</v>
      </c>
      <c r="J53" s="65">
        <v>0</v>
      </c>
      <c r="K53" s="65">
        <v>0</v>
      </c>
      <c r="L53" s="65">
        <v>1117</v>
      </c>
      <c r="M53" s="65"/>
      <c r="N53" s="93">
        <f t="shared" si="21"/>
        <v>475697</v>
      </c>
      <c r="O53" s="93">
        <v>0</v>
      </c>
      <c r="P53" s="93">
        <f t="shared" si="22"/>
        <v>475697</v>
      </c>
      <c r="Q53" s="95">
        <v>0</v>
      </c>
      <c r="R53" s="95">
        <v>1900</v>
      </c>
      <c r="S53" s="96">
        <f t="shared" si="14"/>
        <v>1900</v>
      </c>
      <c r="T53" s="95">
        <f t="shared" si="15"/>
        <v>473797</v>
      </c>
      <c r="U53" s="65"/>
      <c r="V53" s="93">
        <f t="shared" si="20"/>
        <v>473797</v>
      </c>
      <c r="W53" s="87"/>
      <c r="X53" s="97">
        <v>48411</v>
      </c>
      <c r="Y53" s="97"/>
      <c r="Z53" s="93">
        <v>0</v>
      </c>
      <c r="AA53" s="87">
        <v>500</v>
      </c>
      <c r="AB53" s="87"/>
      <c r="AC53" s="87">
        <f t="shared" si="16"/>
        <v>48911</v>
      </c>
      <c r="AD53" s="87">
        <f t="shared" si="17"/>
        <v>424890</v>
      </c>
      <c r="AE53" s="98">
        <f t="shared" si="25"/>
        <v>8744.5</v>
      </c>
      <c r="AF53" s="87">
        <v>0</v>
      </c>
      <c r="AG53" s="90">
        <f t="shared" si="18"/>
        <v>262.33499999999998</v>
      </c>
      <c r="AH53" s="89">
        <v>0</v>
      </c>
      <c r="AI53" s="89">
        <f t="shared" si="19"/>
        <v>9007</v>
      </c>
      <c r="AJ53" s="89">
        <v>9007</v>
      </c>
      <c r="AK53" s="89">
        <v>0</v>
      </c>
      <c r="AL53" s="89">
        <f t="shared" si="12"/>
        <v>9007</v>
      </c>
      <c r="AM53" s="65">
        <f t="shared" si="13"/>
        <v>0</v>
      </c>
      <c r="AN53" s="75" t="s">
        <v>228</v>
      </c>
    </row>
  </sheetData>
  <sheetProtection formatCells="0" formatColumns="0" formatRows="0" insertRows="0" deleteRows="0" sort="0" autoFilter="0"/>
  <autoFilter ref="A3:AQ53" xr:uid="{00000000-0009-0000-0000-000002000000}">
    <filterColumn colId="6" showButton="0"/>
  </autoFilter>
  <customSheetViews>
    <customSheetView guid="{08A3DA2C-51A0-4555-9AB0-E2DC0178DBF2}" hiddenColumns="1" showRuler="0">
      <selection activeCell="D4" sqref="D4"/>
      <pageMargins left="0.75" right="0.75" top="1" bottom="1" header="0.5" footer="0.5"/>
      <pageSetup orientation="portrait" r:id="rId1"/>
      <headerFooter alignWithMargins="0"/>
    </customSheetView>
  </customSheetViews>
  <mergeCells count="68">
    <mergeCell ref="BU1:BU2"/>
    <mergeCell ref="BR1:BR2"/>
    <mergeCell ref="BS1:BS2"/>
    <mergeCell ref="BT1:BT2"/>
    <mergeCell ref="BM1:BM2"/>
    <mergeCell ref="BN1:BN2"/>
    <mergeCell ref="BO1:BO2"/>
    <mergeCell ref="BP1:BP2"/>
    <mergeCell ref="BQ1:BQ2"/>
    <mergeCell ref="BH1:BH2"/>
    <mergeCell ref="BI1:BI2"/>
    <mergeCell ref="BJ1:BJ2"/>
    <mergeCell ref="BK1:BK2"/>
    <mergeCell ref="BL1:BL2"/>
    <mergeCell ref="BC1:BC2"/>
    <mergeCell ref="BD1:BD2"/>
    <mergeCell ref="BE1:BE2"/>
    <mergeCell ref="BF1:BF2"/>
    <mergeCell ref="BG1:BG2"/>
    <mergeCell ref="AX1:AX2"/>
    <mergeCell ref="AY1:AY2"/>
    <mergeCell ref="AZ1:AZ2"/>
    <mergeCell ref="BA1:BA2"/>
    <mergeCell ref="BB1:BB2"/>
    <mergeCell ref="AS1:AS2"/>
    <mergeCell ref="AT1:AT2"/>
    <mergeCell ref="AU1:AU2"/>
    <mergeCell ref="AV1:AV2"/>
    <mergeCell ref="AW1:AW2"/>
    <mergeCell ref="AR1:AR2"/>
    <mergeCell ref="G3:H3"/>
    <mergeCell ref="AG1:AG2"/>
    <mergeCell ref="O1:O2"/>
    <mergeCell ref="Q1:Q2"/>
    <mergeCell ref="R1:R2"/>
    <mergeCell ref="T1:T2"/>
    <mergeCell ref="U1:U2"/>
    <mergeCell ref="AF1:AF2"/>
    <mergeCell ref="AE1:AE2"/>
    <mergeCell ref="Z1:Z2"/>
    <mergeCell ref="AC1:AC2"/>
    <mergeCell ref="I1:K1"/>
    <mergeCell ref="V1:V2"/>
    <mergeCell ref="L1:L2"/>
    <mergeCell ref="AP1:AP2"/>
    <mergeCell ref="C1:C2"/>
    <mergeCell ref="A1:A2"/>
    <mergeCell ref="D1:D2"/>
    <mergeCell ref="F1:F2"/>
    <mergeCell ref="G1:H1"/>
    <mergeCell ref="B1:B2"/>
    <mergeCell ref="E1:E2"/>
    <mergeCell ref="AQ1:AQ2"/>
    <mergeCell ref="AL1:AL2"/>
    <mergeCell ref="AM1:AM2"/>
    <mergeCell ref="AN1:AN2"/>
    <mergeCell ref="AO1:AO2"/>
    <mergeCell ref="N1:N2"/>
    <mergeCell ref="S1:S2"/>
    <mergeCell ref="AK1:AK2"/>
    <mergeCell ref="AD1:AD2"/>
    <mergeCell ref="P1:P2"/>
    <mergeCell ref="AH1:AH2"/>
    <mergeCell ref="AI1:AI2"/>
    <mergeCell ref="X1:X2"/>
    <mergeCell ref="AA1:AA2"/>
    <mergeCell ref="W1:W2"/>
    <mergeCell ref="AJ1:AJ2"/>
  </mergeCells>
  <phoneticPr fontId="0" type="noConversion"/>
  <conditionalFormatting sqref="B3:C3 A1:B1">
    <cfRule type="cellIs" priority="3" stopIfTrue="1" operator="lessThanOrEqual">
      <formula>10</formula>
    </cfRule>
  </conditionalFormatting>
  <dataValidations count="5">
    <dataValidation type="textLength" showInputMessage="1" showErrorMessage="1" errorTitle="TaxPro" error="Maximum Length is only 10 Character" sqref="B3:C3 B1" xr:uid="{00000000-0002-0000-0200-000000000000}">
      <formula1>0</formula1>
      <formula2>10</formula2>
    </dataValidation>
    <dataValidation type="list" showInputMessage="1" showErrorMessage="1" sqref="F4:F1048576" xr:uid="{00000000-0002-0000-0200-000001000000}">
      <formula1>"W, S, O, G"</formula1>
    </dataValidation>
    <dataValidation type="list" allowBlank="1" showInputMessage="1" showErrorMessage="1" sqref="A4:A1048576" xr:uid="{00000000-0002-0000-0200-000002000000}">
      <formula1>"Add,Delete,PanUpdate"</formula1>
    </dataValidation>
    <dataValidation type="list" operator="equal" showInputMessage="1" promptTitle="PAN:" prompt="_x000a_Exact 10 characters long_x000a__x000a_If available, should be like AAAAA9999A format_x000a_If not available, select from the list provided_x000a__x000a_Mandatory" sqref="B4:B1048576" xr:uid="{00000000-0002-0000-0200-000003000000}">
      <formula1>"PANAPPLIED, PANINVALID, PANNOTAVBL"</formula1>
    </dataValidation>
    <dataValidation type="list" allowBlank="1" showInputMessage="1" showErrorMessage="1" sqref="AN4:AN1048576" xr:uid="{00000000-0002-0000-0200-000004000000}">
      <formula1>"Yes, No"</formula1>
    </dataValidation>
  </dataValidations>
  <pageMargins left="0.75" right="0.75" top="1" bottom="1" header="0.5" footer="0.5"/>
  <pageSetup orientation="portrait" r:id="rId2"/>
  <headerFooter alignWithMargins="0"/>
  <ignoredErrors>
    <ignoredError sqref="S7 V7:V8" emptyCellReference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7:J22"/>
  <sheetViews>
    <sheetView workbookViewId="0">
      <selection activeCell="J19" sqref="J19"/>
    </sheetView>
  </sheetViews>
  <sheetFormatPr defaultRowHeight="12.75" x14ac:dyDescent="0.2"/>
  <cols>
    <col min="8" max="9" width="11.28515625" bestFit="1" customWidth="1"/>
    <col min="10" max="10" width="12.85546875" style="98" bestFit="1" customWidth="1"/>
  </cols>
  <sheetData>
    <row r="17" spans="9:10" x14ac:dyDescent="0.2">
      <c r="I17" s="98">
        <v>310390</v>
      </c>
      <c r="J17" s="98">
        <f>IF((I17&gt;1000000),(((I17-1000000)*30%)+112500),(IF((I17&gt;500000),((I17-500000)*10%+12500),IF(I17&gt;350000,((I17-250000)*5%),((I17-250000)*5%-2500)))))</f>
        <v>519.5</v>
      </c>
    </row>
    <row r="18" spans="9:10" x14ac:dyDescent="0.2">
      <c r="J18" s="98">
        <v>138183</v>
      </c>
    </row>
    <row r="19" spans="9:10" x14ac:dyDescent="0.2">
      <c r="I19">
        <v>302650</v>
      </c>
      <c r="J19" s="98">
        <v>1323720</v>
      </c>
    </row>
    <row r="20" spans="9:10" x14ac:dyDescent="0.2">
      <c r="J20" s="136">
        <f>J18/J19</f>
        <v>0.10438990118756232</v>
      </c>
    </row>
    <row r="21" spans="9:10" x14ac:dyDescent="0.2">
      <c r="J21" s="98">
        <v>347580</v>
      </c>
    </row>
    <row r="22" spans="9:10" x14ac:dyDescent="0.2">
      <c r="J22" s="98">
        <f>J21*J20</f>
        <v>36283.841854772909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24Q Challan</vt:lpstr>
      <vt:lpstr>Form 24Q Deductee</vt:lpstr>
      <vt:lpstr>Form 24Q Salary Details</vt:lpstr>
      <vt:lpstr>Sheet1</vt:lpstr>
    </vt:vector>
  </TitlesOfParts>
  <Company>CISPL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TaxPro TDS-TCS Excel Template</dc:title>
  <dc:creator>Chetan R</dc:creator>
  <cp:lastModifiedBy>Tushar</cp:lastModifiedBy>
  <cp:lastPrinted>2015-04-03T08:32:29Z</cp:lastPrinted>
  <dcterms:created xsi:type="dcterms:W3CDTF">2005-06-30T16:18:14Z</dcterms:created>
  <dcterms:modified xsi:type="dcterms:W3CDTF">2018-05-22T08:19:17Z</dcterms:modified>
  <cp:version>12.0.1</cp:version>
</cp:coreProperties>
</file>