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Data0\IT Returns\Daniel Garments\"/>
    </mc:Choice>
  </mc:AlternateContent>
  <xr:revisionPtr revIDLastSave="0" documentId="13_ncr:1_{228A3423-D25A-482C-A977-0165727DE4CA}" xr6:coauthVersionLast="40" xr6:coauthVersionMax="40" xr10:uidLastSave="{00000000-0000-0000-0000-000000000000}"/>
  <bookViews>
    <workbookView xWindow="0" yWindow="0" windowWidth="20490" windowHeight="7530" tabRatio="656" activeTab="3" xr2:uid="{00000000-000D-0000-FFFF-FFFF00000000}"/>
  </bookViews>
  <sheets>
    <sheet name="Comp AY 2018-19" sheetId="6" r:id="rId1"/>
    <sheet name="FY 2017-18" sheetId="1" r:id="rId2"/>
    <sheet name="Comp AY 2017-18" sheetId="8" state="hidden" r:id="rId3"/>
    <sheet name="CMA DATA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3">'CMA DATA'!$A$1:$D$53</definedName>
    <definedName name="_xlnm.Print_Area" localSheetId="2">'Comp AY 2017-18'!$A$1:$H$35</definedName>
    <definedName name="_xlnm.Print_Area" localSheetId="0">'Comp AY 2018-19'!$A$1:$H$37</definedName>
    <definedName name="_xlnm.Print_Area" localSheetId="1">'FY 2017-18'!$A$1:$F$40</definedName>
    <definedName name="_xlnm.Print_Area">#REF!</definedName>
    <definedName name="PRINT_AREA_MI" localSheetId="3">#REF!</definedName>
    <definedName name="PRINT_AREA_MI" localSheetId="2">#REF!</definedName>
    <definedName name="PRINT_AREA_MI" localSheetId="0">#REF!</definedName>
    <definedName name="PRINT_AREA_MI">#REF!</definedName>
    <definedName name="s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7" l="1"/>
  <c r="D45" i="7"/>
  <c r="D34" i="7"/>
  <c r="C34" i="7"/>
  <c r="B34" i="7"/>
  <c r="C50" i="7"/>
  <c r="B50" i="7"/>
  <c r="D17" i="7"/>
  <c r="C17" i="7"/>
  <c r="B40" i="7"/>
  <c r="B51" i="7"/>
  <c r="C51" i="7" s="1"/>
  <c r="C34" i="1"/>
  <c r="C7" i="1"/>
  <c r="B10" i="7" s="1"/>
  <c r="C10" i="7" s="1"/>
  <c r="D10" i="7" s="1"/>
  <c r="C9" i="1"/>
  <c r="B12" i="7" s="1"/>
  <c r="C12" i="7" s="1"/>
  <c r="D12" i="7" s="1"/>
  <c r="C15" i="1"/>
  <c r="I49" i="7"/>
  <c r="H49" i="7"/>
  <c r="G49" i="7"/>
  <c r="B45" i="7"/>
  <c r="C45" i="7" s="1"/>
  <c r="B33" i="7"/>
  <c r="B11" i="7"/>
  <c r="C11" i="7" s="1"/>
  <c r="D11" i="7" s="1"/>
  <c r="B14" i="7"/>
  <c r="C14" i="7" s="1"/>
  <c r="D14" i="7" s="1"/>
  <c r="B15" i="7"/>
  <c r="C15" i="7" s="1"/>
  <c r="D15" i="7" s="1"/>
  <c r="B17" i="7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9" i="7"/>
  <c r="C9" i="7" s="1"/>
  <c r="D9" i="7" s="1"/>
  <c r="B7" i="7"/>
  <c r="C6" i="7"/>
  <c r="D6" i="7" s="1"/>
  <c r="D7" i="7" s="1"/>
  <c r="C11" i="1"/>
  <c r="I14" i="1"/>
  <c r="C12" i="1"/>
  <c r="G15" i="6"/>
  <c r="B29" i="1"/>
  <c r="C3" i="8"/>
  <c r="C4" i="8"/>
  <c r="C5" i="8"/>
  <c r="C6" i="8"/>
  <c r="H48" i="7" l="1"/>
  <c r="G48" i="7"/>
  <c r="D51" i="7"/>
  <c r="C46" i="7"/>
  <c r="C7" i="7"/>
  <c r="B46" i="7"/>
  <c r="F33" i="1"/>
  <c r="I35" i="1" s="1"/>
  <c r="I36" i="1"/>
  <c r="I48" i="7" l="1"/>
  <c r="C47" i="7"/>
  <c r="C52" i="7" s="1"/>
  <c r="C16" i="7"/>
  <c r="B47" i="7"/>
  <c r="B52" i="7" s="1"/>
  <c r="B16" i="7"/>
  <c r="B23" i="7" s="1"/>
  <c r="B35" i="7" s="1"/>
  <c r="D46" i="7"/>
  <c r="I37" i="1"/>
  <c r="B25" i="7" l="1"/>
  <c r="C23" i="7"/>
  <c r="D23" i="7" s="1"/>
  <c r="D47" i="7"/>
  <c r="D52" i="7" s="1"/>
  <c r="D16" i="7"/>
  <c r="B36" i="7"/>
  <c r="C35" i="7"/>
  <c r="J22" i="8"/>
  <c r="J21" i="8"/>
  <c r="C33" i="7" l="1"/>
  <c r="B42" i="7"/>
  <c r="B54" i="7" s="1"/>
  <c r="C36" i="7"/>
  <c r="D35" i="7"/>
  <c r="D25" i="7"/>
  <c r="H25" i="8"/>
  <c r="G28" i="8" s="1"/>
  <c r="D33" i="7" l="1"/>
  <c r="D36" i="7" s="1"/>
  <c r="D42" i="7" s="1"/>
  <c r="D54" i="7" s="1"/>
  <c r="C42" i="7"/>
  <c r="C54" i="7" s="1"/>
  <c r="G29" i="8"/>
  <c r="H29" i="8" s="1"/>
  <c r="H31" i="8" s="1"/>
  <c r="H35" i="8" s="1"/>
  <c r="E30" i="1"/>
  <c r="C13" i="1" s="1"/>
  <c r="G15" i="8" l="1"/>
  <c r="A15" i="8" l="1"/>
  <c r="B30" i="1"/>
  <c r="H16" i="8"/>
  <c r="G18" i="8" s="1"/>
  <c r="H16" i="6"/>
  <c r="G18" i="6" s="1"/>
  <c r="C30" i="1" l="1"/>
  <c r="C38" i="1" s="1"/>
  <c r="H19" i="6"/>
  <c r="H21" i="6" s="1"/>
  <c r="H19" i="8"/>
  <c r="H21" i="8" s="1"/>
  <c r="F30" i="1" l="1"/>
  <c r="F22" i="1"/>
  <c r="C22" i="1"/>
  <c r="G22" i="1" l="1"/>
  <c r="F38" i="1"/>
  <c r="G38" i="1" s="1"/>
  <c r="C25" i="7" l="1"/>
</calcChain>
</file>

<file path=xl/sharedStrings.xml><?xml version="1.0" encoding="utf-8"?>
<sst xmlns="http://schemas.openxmlformats.org/spreadsheetml/2006/main" count="190" uniqueCount="84">
  <si>
    <t>Particulars</t>
  </si>
  <si>
    <t>Amt (Rs.)</t>
  </si>
  <si>
    <t>To Depreciation</t>
  </si>
  <si>
    <t>To Electricity Expenses</t>
  </si>
  <si>
    <t>To Water Charges</t>
  </si>
  <si>
    <t>By Gross receipts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</si>
  <si>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</si>
  <si>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</si>
  <si>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</si>
  <si>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</si>
  <si>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</si>
  <si>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</si>
  <si>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</si>
  <si>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</si>
  <si>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</si>
  <si>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</si>
  <si>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Fixed Assets</t>
  </si>
  <si>
    <t>Sundry Debtors</t>
  </si>
  <si>
    <t>Cash in Hand</t>
  </si>
  <si>
    <t>INCOME TAX RETURN</t>
  </si>
  <si>
    <t>PAN</t>
  </si>
  <si>
    <t>DOB</t>
  </si>
  <si>
    <t>Assessment Year</t>
  </si>
  <si>
    <t>Financial Year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</si>
  <si>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</si>
  <si>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</si>
  <si>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</si>
  <si>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</si>
  <si>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</si>
  <si>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</si>
  <si>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</si>
  <si>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</si>
  <si>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</si>
  <si>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</si>
  <si>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</si>
  <si>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Tax payable on total income</t>
  </si>
  <si>
    <t>Tax Payable after Rebate</t>
  </si>
  <si>
    <t>Total Tax Payable</t>
  </si>
  <si>
    <t>Other Payables</t>
  </si>
  <si>
    <t>To Misc. Expense</t>
  </si>
  <si>
    <t>To Insurance</t>
  </si>
  <si>
    <t>To Rates and Taxes</t>
  </si>
  <si>
    <t>Current Assets</t>
  </si>
  <si>
    <t>A/2 14 2/2, Laxmi Chawl, Anna Nagar, Kumbharwada Road, Dharavi, Mumbai - 400017.</t>
  </si>
  <si>
    <t>2017-2018</t>
  </si>
  <si>
    <t>2016-17</t>
  </si>
  <si>
    <t>Total Taxes Paid</t>
  </si>
  <si>
    <t>Refund</t>
  </si>
  <si>
    <t>Garments Business</t>
  </si>
  <si>
    <t>To Bank Charges</t>
  </si>
  <si>
    <t>To Conveyance</t>
  </si>
  <si>
    <t xml:space="preserve">     :- Cash Credit Loan</t>
  </si>
  <si>
    <t>To Telephone Charges</t>
  </si>
  <si>
    <t>Plant &amp; Machinery</t>
  </si>
  <si>
    <t>Less : Depreciation @ 15 %</t>
  </si>
  <si>
    <t>Less : Drawings</t>
  </si>
  <si>
    <t>2018-2019</t>
  </si>
  <si>
    <t xml:space="preserve">PROVISIONAL COMPUTATION  OF  TOTAL  INCOME </t>
  </si>
  <si>
    <t>PROVISIONAL INCOME TAX RETURN</t>
  </si>
  <si>
    <t>To Material Purchses</t>
  </si>
  <si>
    <t>To Interest on loan</t>
  </si>
  <si>
    <t>Current Liabilities</t>
  </si>
  <si>
    <t>Current Asstes</t>
  </si>
  <si>
    <t>Current Ratio</t>
  </si>
  <si>
    <t>Creditors for expenses</t>
  </si>
  <si>
    <t>Sharonmegala Nadar</t>
  </si>
  <si>
    <t>AMPPN5191A</t>
  </si>
  <si>
    <t>2018-19</t>
  </si>
  <si>
    <t>Commencement Date</t>
  </si>
  <si>
    <t>Profit and Loss Account for the year ended 31st March, 2018</t>
  </si>
  <si>
    <t>Balance Sheet as on 31st March, 2018</t>
  </si>
  <si>
    <t>To Labour charges paid</t>
  </si>
  <si>
    <t>Cash Balance</t>
  </si>
  <si>
    <t>Cash Credit : Indian Overseas</t>
  </si>
  <si>
    <t xml:space="preserve">  </t>
  </si>
  <si>
    <t>Gross Receipts</t>
  </si>
  <si>
    <t>Actual</t>
  </si>
  <si>
    <t>Projected</t>
  </si>
  <si>
    <t>Profit and Loss Account
(Period - 7/11/20XX to 30/11/20XX)</t>
  </si>
  <si>
    <t>Balance Sheet
(As on 30/11/20XX)</t>
  </si>
  <si>
    <t xml:space="preserve"> 2017-18</t>
  </si>
  <si>
    <t>2019-20</t>
  </si>
  <si>
    <t>Mrs.  Sharonmegala Nadar - (Prop. Daniel Garments )</t>
  </si>
  <si>
    <t>Books of Mrs.  Sharonmegala Nadar - (Prop. Daniel Garments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</si>
</sst>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164" fontId="6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4" applyNumberFormat="1" applyFont="1"/>
    <xf numFmtId="1" fontId="0" fillId="0" borderId="9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65" fontId="0" fillId="0" borderId="8" xfId="4" applyNumberFormat="1" applyFont="1" applyBorder="1"/>
    <xf numFmtId="165" fontId="0" fillId="0" borderId="10" xfId="4" applyNumberFormat="1" applyFont="1" applyBorder="1"/>
    <xf numFmtId="165" fontId="0" fillId="0" borderId="9" xfId="4" applyNumberFormat="1" applyFont="1" applyBorder="1"/>
    <xf numFmtId="165" fontId="1" fillId="0" borderId="10" xfId="4" applyNumberFormat="1" applyFont="1" applyBorder="1"/>
    <xf numFmtId="165" fontId="0" fillId="0" borderId="4" xfId="4" applyNumberFormat="1" applyFont="1" applyBorder="1"/>
    <xf numFmtId="165" fontId="1" fillId="0" borderId="14" xfId="4" applyNumberFormat="1" applyFont="1" applyBorder="1"/>
    <xf numFmtId="165" fontId="1" fillId="0" borderId="2" xfId="4" applyNumberFormat="1" applyFont="1" applyBorder="1"/>
    <xf numFmtId="165" fontId="0" fillId="0" borderId="11" xfId="4" applyNumberFormat="1" applyFont="1" applyBorder="1"/>
    <xf numFmtId="165" fontId="0" fillId="0" borderId="3" xfId="4" applyNumberFormat="1" applyFont="1" applyFill="1" applyBorder="1"/>
    <xf numFmtId="165" fontId="0" fillId="0" borderId="5" xfId="4" applyNumberFormat="1" applyFont="1" applyFill="1" applyBorder="1"/>
    <xf numFmtId="165" fontId="0" fillId="0" borderId="3" xfId="4" applyNumberFormat="1" applyFont="1" applyBorder="1"/>
    <xf numFmtId="165" fontId="1" fillId="0" borderId="5" xfId="4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13" xfId="0" applyFont="1" applyBorder="1"/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9" xfId="0" applyFont="1" applyFill="1" applyBorder="1" applyAlignment="1">
      <alignment horizontal="right"/>
    </xf>
    <xf numFmtId="0" fontId="0" fillId="0" borderId="6" xfId="0" applyFont="1" applyBorder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1" fontId="0" fillId="0" borderId="0" xfId="0" applyNumberFormat="1" applyFont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7" xfId="0" applyBorder="1"/>
    <xf numFmtId="0" fontId="1" fillId="0" borderId="9" xfId="0" applyFont="1" applyBorder="1"/>
    <xf numFmtId="165" fontId="0" fillId="0" borderId="0" xfId="4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 vertical="top"/>
    </xf>
    <xf numFmtId="0" fontId="3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9" xfId="0" applyNumberFormat="1" applyFont="1" applyBorder="1" applyAlignment="1">
      <alignment horizontal="right"/>
    </xf>
    <xf numFmtId="1" fontId="0" fillId="0" borderId="10" xfId="0" applyNumberFormat="1" applyFont="1" applyFill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0" fontId="0" fillId="0" borderId="9" xfId="0" applyFont="1" applyFill="1" applyBorder="1"/>
    <xf numFmtId="0" fontId="1" fillId="0" borderId="16" xfId="0" applyFont="1" applyBorder="1" applyAlignment="1">
      <alignment horizontal="center" vertical="top"/>
    </xf>
    <xf numFmtId="0" fontId="0" fillId="0" borderId="11" xfId="0" applyFont="1" applyBorder="1"/>
    <xf numFmtId="165" fontId="1" fillId="0" borderId="9" xfId="4" applyNumberFormat="1" applyFont="1" applyBorder="1"/>
    <xf numFmtId="0" fontId="0" fillId="0" borderId="5" xfId="0" applyFont="1" applyBorder="1"/>
    <xf numFmtId="0" fontId="1" fillId="0" borderId="3" xfId="0" applyFont="1" applyBorder="1"/>
    <xf numFmtId="0" fontId="1" fillId="0" borderId="9" xfId="0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5" fontId="0" fillId="0" borderId="0" xfId="0" applyNumberFormat="1"/>
    <xf numFmtId="0" fontId="0" fillId="0" borderId="4" xfId="0" applyFont="1" applyBorder="1"/>
    <xf numFmtId="0" fontId="0" fillId="0" borderId="7" xfId="0" applyFont="1" applyBorder="1"/>
    <xf numFmtId="0" fontId="0" fillId="0" borderId="17" xfId="0" applyFont="1" applyBorder="1"/>
    <xf numFmtId="165" fontId="0" fillId="0" borderId="6" xfId="0" applyNumberFormat="1" applyBorder="1"/>
    <xf numFmtId="165" fontId="0" fillId="0" borderId="7" xfId="0" applyNumberFormat="1" applyBorder="1"/>
    <xf numFmtId="1" fontId="0" fillId="0" borderId="0" xfId="0" applyNumberFormat="1" applyBorder="1"/>
    <xf numFmtId="0" fontId="1" fillId="0" borderId="4" xfId="0" applyFont="1" applyFill="1" applyBorder="1"/>
    <xf numFmtId="0" fontId="1" fillId="0" borderId="13" xfId="0" applyFont="1" applyBorder="1"/>
    <xf numFmtId="0" fontId="0" fillId="0" borderId="4" xfId="0" applyFont="1" applyFill="1" applyBorder="1"/>
    <xf numFmtId="0" fontId="1" fillId="0" borderId="7" xfId="0" applyFont="1" applyBorder="1"/>
    <xf numFmtId="165" fontId="0" fillId="0" borderId="0" xfId="0" applyNumberFormat="1" applyFont="1"/>
    <xf numFmtId="0" fontId="1" fillId="0" borderId="3" xfId="0" applyFont="1" applyFill="1" applyBorder="1"/>
    <xf numFmtId="165" fontId="1" fillId="0" borderId="6" xfId="4" applyNumberFormat="1" applyFont="1" applyBorder="1"/>
    <xf numFmtId="164" fontId="0" fillId="0" borderId="0" xfId="0" applyNumberFormat="1" applyFont="1"/>
    <xf numFmtId="0" fontId="3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5" fontId="0" fillId="0" borderId="9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5" fontId="0" fillId="0" borderId="10" xfId="4" applyNumberFormat="1" applyFont="1" applyBorder="1" applyAlignment="1">
      <alignment horizontal="right"/>
    </xf>
    <xf numFmtId="165" fontId="0" fillId="0" borderId="8" xfId="4" applyNumberFormat="1" applyFont="1" applyBorder="1" applyAlignment="1">
      <alignment horizontal="right"/>
    </xf>
    <xf numFmtId="165" fontId="0" fillId="0" borderId="11" xfId="4" applyNumberFormat="1" applyFont="1" applyBorder="1" applyAlignment="1">
      <alignment horizontal="right"/>
    </xf>
    <xf numFmtId="165" fontId="0" fillId="0" borderId="3" xfId="4" applyNumberFormat="1" applyFont="1" applyBorder="1" applyAlignment="1">
      <alignment horizontal="right"/>
    </xf>
    <xf numFmtId="165" fontId="0" fillId="0" borderId="3" xfId="4" applyNumberFormat="1" applyFont="1" applyFill="1" applyBorder="1" applyAlignment="1">
      <alignment horizontal="right"/>
    </xf>
    <xf numFmtId="165" fontId="0" fillId="0" borderId="5" xfId="4" applyNumberFormat="1" applyFont="1" applyBorder="1" applyAlignment="1">
      <alignment horizontal="right"/>
    </xf>
    <xf numFmtId="165" fontId="0" fillId="0" borderId="2" xfId="4" applyNumberFormat="1" applyFont="1" applyBorder="1" applyAlignment="1">
      <alignment horizontal="right"/>
    </xf>
    <xf numFmtId="2" fontId="0" fillId="0" borderId="0" xfId="0" applyNumberFormat="1" applyFont="1"/>
    <xf numFmtId="0" fontId="1" fillId="0" borderId="9" xfId="0" applyFont="1" applyBorder="1" applyAlignment="1">
      <alignment horizontal="center" vertical="top"/>
    </xf>
    <xf numFmtId="165" fontId="1" fillId="0" borderId="4" xfId="4" applyNumberFormat="1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5" fontId="0" fillId="0" borderId="5" xfId="4" applyNumberFormat="1" applyFont="1" applyBorder="1"/>
    <xf numFmtId="165" fontId="1" fillId="0" borderId="18" xfId="4" applyNumberFormat="1" applyFont="1" applyBorder="1"/>
    <xf numFmtId="166" fontId="0" fillId="0" borderId="9" xfId="4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5">
    <cellStyle name="Comma" xfId="4" builtinId="3"/>
    <cellStyle name="Comma 2" xfId="1" xr:uid="{00000000-0005-0000-0000-000001000000}"/>
    <cellStyle name="Excel Built-in Normal 1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/Mohite%20Consultancy%20Services/Assignments/IT%20Returns/Kennedy%20Sek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view="pageBreakPreview" zoomScaleSheetLayoutView="100" workbookViewId="0">
      <selection activeCell="H33" sqref="H33"/>
    </sheetView>
  </sheetViews>
  <sheetFormatPr defaultRowHeight="15" x14ac:dyDescent="0.25"/>
  <cols>
    <col min="1" max="1" width="20.85546875" style="41" bestFit="1" customWidth="1"/>
    <col min="2" max="2" width="1.5703125" style="41" bestFit="1" customWidth="1"/>
    <col min="3" max="3" width="23.5703125" style="41" bestFit="1" customWidth="1"/>
    <col min="4" max="4" width="9.140625" style="41"/>
    <col min="5" max="6" width="9.140625" style="41" bestFit="1" customWidth="1"/>
    <col min="7" max="8" width="11.5703125" style="41" bestFit="1" customWidth="1"/>
    <col min="9" max="9" width="19.5703125" style="41" bestFit="1" customWidth="1"/>
    <col min="10" max="16384" width="9.140625" style="41"/>
  </cols>
  <sheetData>
    <row r="1" spans="1:9" ht="18.75" x14ac:dyDescent="0.3">
      <c r="A1" s="127" t="s">
        <v>19</v>
      </c>
      <c r="B1" s="127"/>
      <c r="C1" s="127"/>
      <c r="D1" s="127"/>
      <c r="E1" s="127"/>
      <c r="F1" s="127"/>
      <c r="G1" s="127"/>
      <c r="H1" s="127"/>
    </row>
    <row r="2" spans="1:9" x14ac:dyDescent="0.25">
      <c r="I2" s="72"/>
    </row>
    <row r="3" spans="1:9" x14ac:dyDescent="0.25">
      <c r="A3" s="8" t="s">
        <v>34</v>
      </c>
      <c r="B3" s="8" t="s">
        <v>9</v>
      </c>
      <c r="C3" s="40" t="s">
        <v>65</v>
      </c>
      <c r="D3" s="42"/>
      <c r="E3" s="42"/>
      <c r="F3" s="42"/>
      <c r="G3" s="42"/>
    </row>
    <row r="4" spans="1:9" ht="30.75" customHeight="1" x14ac:dyDescent="0.25">
      <c r="A4" s="9" t="s">
        <v>10</v>
      </c>
      <c r="B4" s="9" t="s">
        <v>9</v>
      </c>
      <c r="C4" s="128" t="s">
        <v>43</v>
      </c>
      <c r="D4" s="128"/>
      <c r="E4" s="128"/>
      <c r="F4" s="128"/>
      <c r="G4" s="128"/>
      <c r="H4" s="128"/>
    </row>
    <row r="5" spans="1:9" x14ac:dyDescent="0.25">
      <c r="A5" s="8" t="s">
        <v>20</v>
      </c>
      <c r="B5" s="8" t="s">
        <v>9</v>
      </c>
      <c r="C5" s="43" t="s">
        <v>66</v>
      </c>
      <c r="D5" s="42"/>
      <c r="E5" s="42"/>
      <c r="F5" s="42"/>
      <c r="G5" s="42"/>
    </row>
    <row r="6" spans="1:9" x14ac:dyDescent="0.25">
      <c r="A6" s="8" t="s">
        <v>21</v>
      </c>
      <c r="B6" s="9" t="s">
        <v>9</v>
      </c>
      <c r="C6" s="44">
        <v>24855</v>
      </c>
      <c r="D6" s="42"/>
      <c r="E6" s="42"/>
      <c r="F6" s="42"/>
      <c r="G6" s="42"/>
    </row>
    <row r="7" spans="1:9" x14ac:dyDescent="0.25">
      <c r="A7" s="8" t="s">
        <v>11</v>
      </c>
      <c r="B7" s="9" t="s">
        <v>9</v>
      </c>
      <c r="C7" s="42" t="s">
        <v>12</v>
      </c>
      <c r="D7" s="42"/>
      <c r="E7" s="42"/>
      <c r="F7" s="42"/>
      <c r="G7" s="42"/>
    </row>
    <row r="8" spans="1:9" x14ac:dyDescent="0.25">
      <c r="A8" s="8" t="s">
        <v>22</v>
      </c>
      <c r="B8" s="9" t="s">
        <v>9</v>
      </c>
      <c r="C8" s="42" t="s">
        <v>67</v>
      </c>
      <c r="D8" s="42"/>
      <c r="E8" s="42"/>
      <c r="F8" s="42"/>
      <c r="G8" s="42"/>
    </row>
    <row r="9" spans="1:9" x14ac:dyDescent="0.25">
      <c r="A9" s="8" t="s">
        <v>23</v>
      </c>
      <c r="B9" s="9" t="s">
        <v>9</v>
      </c>
      <c r="C9" s="42" t="s">
        <v>45</v>
      </c>
      <c r="D9" s="42"/>
      <c r="E9" s="42"/>
      <c r="F9" s="42"/>
      <c r="G9" s="42"/>
    </row>
    <row r="10" spans="1:9" x14ac:dyDescent="0.25">
      <c r="A10" s="8" t="s">
        <v>68</v>
      </c>
      <c r="B10" s="9" t="s">
        <v>9</v>
      </c>
      <c r="C10" s="45">
        <v>42947</v>
      </c>
      <c r="D10" s="42"/>
      <c r="E10" s="42"/>
      <c r="F10" s="42"/>
      <c r="G10" s="42"/>
    </row>
    <row r="12" spans="1:9" ht="18.75" x14ac:dyDescent="0.3">
      <c r="A12" s="127" t="s">
        <v>25</v>
      </c>
      <c r="B12" s="127"/>
      <c r="C12" s="127"/>
      <c r="D12" s="127"/>
      <c r="E12" s="127"/>
      <c r="F12" s="127"/>
      <c r="G12" s="127"/>
      <c r="H12" s="127"/>
    </row>
    <row r="13" spans="1:9" x14ac:dyDescent="0.25">
      <c r="A13" s="131" t="s">
        <v>0</v>
      </c>
      <c r="B13" s="131"/>
      <c r="C13" s="131"/>
      <c r="D13" s="131"/>
      <c r="E13" s="6" t="s">
        <v>1</v>
      </c>
      <c r="F13" s="6" t="s">
        <v>1</v>
      </c>
      <c r="G13" s="6" t="s">
        <v>1</v>
      </c>
      <c r="H13" s="6" t="s">
        <v>1</v>
      </c>
      <c r="I13" s="8"/>
    </row>
    <row r="14" spans="1:9" x14ac:dyDescent="0.25">
      <c r="A14" s="129" t="s">
        <v>24</v>
      </c>
      <c r="B14" s="130"/>
      <c r="C14" s="130"/>
      <c r="D14" s="130"/>
      <c r="G14" s="46"/>
      <c r="H14" s="47"/>
    </row>
    <row r="15" spans="1:9" x14ac:dyDescent="0.25">
      <c r="A15" s="132" t="s">
        <v>48</v>
      </c>
      <c r="B15" s="133"/>
      <c r="C15" s="133"/>
      <c r="D15" s="133"/>
      <c r="G15" s="110">
        <f>'FY 2017-18'!C20</f>
        <v>150613</v>
      </c>
      <c r="H15" s="111"/>
    </row>
    <row r="16" spans="1:9" x14ac:dyDescent="0.25">
      <c r="A16" s="132" t="s">
        <v>26</v>
      </c>
      <c r="B16" s="133"/>
      <c r="C16" s="133"/>
      <c r="D16" s="133"/>
      <c r="G16" s="112" t="s">
        <v>27</v>
      </c>
      <c r="H16" s="112">
        <f>G15</f>
        <v>150613</v>
      </c>
    </row>
    <row r="17" spans="1:8" x14ac:dyDescent="0.25">
      <c r="A17" s="132"/>
      <c r="B17" s="133"/>
      <c r="C17" s="133"/>
      <c r="D17" s="133"/>
      <c r="G17" s="110"/>
      <c r="H17" s="111"/>
    </row>
    <row r="18" spans="1:8" x14ac:dyDescent="0.25">
      <c r="A18" s="129" t="s">
        <v>28</v>
      </c>
      <c r="B18" s="130"/>
      <c r="C18" s="130"/>
      <c r="D18" s="130"/>
      <c r="G18" s="110">
        <f>H16</f>
        <v>150613</v>
      </c>
      <c r="H18" s="111"/>
    </row>
    <row r="19" spans="1:8" x14ac:dyDescent="0.25">
      <c r="A19" s="132" t="s">
        <v>29</v>
      </c>
      <c r="B19" s="133"/>
      <c r="C19" s="133"/>
      <c r="D19" s="133"/>
      <c r="G19" s="112">
        <v>0</v>
      </c>
      <c r="H19" s="112">
        <f>+G18-G19</f>
        <v>150613</v>
      </c>
    </row>
    <row r="20" spans="1:8" x14ac:dyDescent="0.25">
      <c r="A20" s="132"/>
      <c r="B20" s="133"/>
      <c r="C20" s="133"/>
      <c r="D20" s="133"/>
      <c r="G20" s="110"/>
      <c r="H20" s="111"/>
    </row>
    <row r="21" spans="1:8" x14ac:dyDescent="0.25">
      <c r="A21" s="129" t="s">
        <v>30</v>
      </c>
      <c r="B21" s="130"/>
      <c r="C21" s="130"/>
      <c r="D21" s="130"/>
      <c r="G21" s="110"/>
      <c r="H21" s="111">
        <f>H19</f>
        <v>150613</v>
      </c>
    </row>
    <row r="22" spans="1:8" x14ac:dyDescent="0.25">
      <c r="A22" s="132"/>
      <c r="B22" s="133"/>
      <c r="C22" s="133"/>
      <c r="D22" s="133"/>
      <c r="G22" s="110"/>
      <c r="H22" s="111"/>
    </row>
    <row r="23" spans="1:8" x14ac:dyDescent="0.25">
      <c r="A23" s="136" t="s">
        <v>35</v>
      </c>
      <c r="B23" s="137"/>
      <c r="C23" s="137"/>
      <c r="D23" s="137"/>
      <c r="E23" s="51"/>
      <c r="F23" s="51"/>
      <c r="G23" s="114"/>
      <c r="H23" s="113" t="s">
        <v>27</v>
      </c>
    </row>
    <row r="24" spans="1:8" x14ac:dyDescent="0.25">
      <c r="A24" s="14"/>
      <c r="B24" s="12"/>
      <c r="C24" s="12"/>
      <c r="D24" s="12"/>
      <c r="G24" s="115"/>
      <c r="H24" s="110"/>
    </row>
    <row r="25" spans="1:8" x14ac:dyDescent="0.25">
      <c r="A25" s="132" t="s">
        <v>31</v>
      </c>
      <c r="B25" s="133"/>
      <c r="C25" s="133"/>
      <c r="D25" s="133"/>
      <c r="G25" s="117" t="s">
        <v>27</v>
      </c>
      <c r="H25" s="112" t="s">
        <v>27</v>
      </c>
    </row>
    <row r="26" spans="1:8" x14ac:dyDescent="0.25">
      <c r="A26" s="132"/>
      <c r="B26" s="133"/>
      <c r="C26" s="133"/>
      <c r="D26" s="133"/>
      <c r="G26" s="114"/>
      <c r="H26" s="113"/>
    </row>
    <row r="27" spans="1:8" x14ac:dyDescent="0.25">
      <c r="A27" s="129" t="s">
        <v>36</v>
      </c>
      <c r="B27" s="130"/>
      <c r="C27" s="130"/>
      <c r="D27" s="130"/>
      <c r="G27" s="115"/>
      <c r="H27" s="110"/>
    </row>
    <row r="28" spans="1:8" x14ac:dyDescent="0.25">
      <c r="A28" s="15" t="s">
        <v>32</v>
      </c>
      <c r="B28" s="21"/>
      <c r="C28" s="21"/>
      <c r="D28" s="21"/>
      <c r="G28" s="115" t="s">
        <v>27</v>
      </c>
      <c r="H28" s="110"/>
    </row>
    <row r="29" spans="1:8" x14ac:dyDescent="0.25">
      <c r="A29" s="132" t="s">
        <v>33</v>
      </c>
      <c r="B29" s="133"/>
      <c r="C29" s="133"/>
      <c r="D29" s="133"/>
      <c r="G29" s="117" t="s">
        <v>27</v>
      </c>
      <c r="H29" s="112" t="s">
        <v>27</v>
      </c>
    </row>
    <row r="30" spans="1:8" x14ac:dyDescent="0.25">
      <c r="A30" s="15"/>
      <c r="B30" s="54"/>
      <c r="C30" s="54"/>
      <c r="D30" s="54"/>
      <c r="G30" s="115"/>
      <c r="H30" s="110"/>
    </row>
    <row r="31" spans="1:8" x14ac:dyDescent="0.25">
      <c r="A31" s="20" t="s">
        <v>37</v>
      </c>
      <c r="B31" s="54"/>
      <c r="C31" s="54"/>
      <c r="D31" s="54"/>
      <c r="G31" s="116"/>
      <c r="H31" s="110" t="s">
        <v>27</v>
      </c>
    </row>
    <row r="32" spans="1:8" x14ac:dyDescent="0.25">
      <c r="A32" s="132"/>
      <c r="B32" s="133"/>
      <c r="C32" s="133"/>
      <c r="D32" s="133"/>
      <c r="G32" s="115"/>
      <c r="H32" s="110"/>
    </row>
    <row r="33" spans="1:8" x14ac:dyDescent="0.25">
      <c r="A33" s="75" t="s">
        <v>46</v>
      </c>
      <c r="B33" s="76"/>
      <c r="C33" s="76"/>
      <c r="D33" s="76"/>
      <c r="G33" s="115"/>
      <c r="H33" s="110" t="s">
        <v>27</v>
      </c>
    </row>
    <row r="34" spans="1:8" x14ac:dyDescent="0.25">
      <c r="A34" s="108"/>
      <c r="B34" s="109"/>
      <c r="C34" s="109"/>
      <c r="D34" s="109"/>
      <c r="G34" s="115"/>
      <c r="H34" s="110"/>
    </row>
    <row r="35" spans="1:8" ht="15.75" thickBot="1" x14ac:dyDescent="0.3">
      <c r="A35" s="108" t="s">
        <v>47</v>
      </c>
      <c r="B35" s="76"/>
      <c r="C35" s="76"/>
      <c r="D35" s="76"/>
      <c r="G35" s="115"/>
      <c r="H35" s="118" t="s">
        <v>27</v>
      </c>
    </row>
    <row r="36" spans="1:8" ht="15.75" thickTop="1" x14ac:dyDescent="0.25">
      <c r="A36" s="134"/>
      <c r="B36" s="135"/>
      <c r="C36" s="135"/>
      <c r="D36" s="135"/>
      <c r="E36" s="56"/>
      <c r="F36" s="56"/>
      <c r="G36" s="117"/>
      <c r="H36" s="112"/>
    </row>
  </sheetData>
  <mergeCells count="20">
    <mergeCell ref="A32:D32"/>
    <mergeCell ref="A36:D36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view="pageBreakPreview" zoomScale="110" zoomScaleNormal="110" zoomScaleSheetLayoutView="110" workbookViewId="0">
      <selection activeCell="A3" sqref="A3:F3"/>
    </sheetView>
  </sheetViews>
  <sheetFormatPr defaultRowHeight="15" x14ac:dyDescent="0.25"/>
  <cols>
    <col min="1" max="1" width="26.7109375" style="57" customWidth="1"/>
    <col min="2" max="3" width="10.28515625" style="57" customWidth="1"/>
    <col min="4" max="4" width="26.7109375" style="57" customWidth="1"/>
    <col min="5" max="6" width="10.28515625" style="57" customWidth="1"/>
    <col min="7" max="7" width="10.42578125" style="63" bestFit="1" customWidth="1"/>
    <col min="8" max="8" width="24.28515625" style="57" bestFit="1" customWidth="1"/>
    <col min="9" max="9" width="10.5703125" style="57" bestFit="1" customWidth="1"/>
    <col min="10" max="10" width="5.140625" style="57" bestFit="1" customWidth="1"/>
    <col min="11" max="16384" width="9.140625" style="57"/>
  </cols>
  <sheetData>
    <row r="1" spans="1:9" x14ac:dyDescent="0.25">
      <c r="I1" s="58"/>
    </row>
    <row r="2" spans="1:9" ht="15.75" x14ac:dyDescent="0.25">
      <c r="A2" s="138" t="s">
        <v>83</v>
      </c>
      <c r="B2" s="138"/>
      <c r="C2" s="138"/>
      <c r="D2" s="138"/>
      <c r="E2" s="138"/>
      <c r="F2" s="138"/>
      <c r="G2" s="73"/>
      <c r="H2" s="59"/>
      <c r="I2" s="58"/>
    </row>
    <row r="3" spans="1:9" ht="15.75" x14ac:dyDescent="0.25">
      <c r="A3" s="138" t="s">
        <v>69</v>
      </c>
      <c r="B3" s="138"/>
      <c r="C3" s="138"/>
      <c r="D3" s="138"/>
      <c r="E3" s="138"/>
      <c r="F3" s="138"/>
      <c r="G3" s="73"/>
      <c r="H3" s="59"/>
    </row>
    <row r="4" spans="1:9" ht="6.75" customHeight="1" x14ac:dyDescent="0.25">
      <c r="A4" s="5"/>
      <c r="B4" s="5"/>
      <c r="C4" s="5"/>
      <c r="D4" s="5"/>
      <c r="E4" s="5"/>
      <c r="F4" s="5"/>
      <c r="I4" s="60"/>
    </row>
    <row r="5" spans="1:9" s="66" customFormat="1" x14ac:dyDescent="0.25">
      <c r="A5" s="65" t="s">
        <v>0</v>
      </c>
      <c r="B5" s="83" t="s">
        <v>1</v>
      </c>
      <c r="C5" s="65" t="s">
        <v>1</v>
      </c>
      <c r="D5" s="69" t="s">
        <v>0</v>
      </c>
      <c r="E5" s="65" t="s">
        <v>1</v>
      </c>
      <c r="F5" s="65" t="s">
        <v>1</v>
      </c>
      <c r="G5" s="74"/>
      <c r="I5" s="67"/>
    </row>
    <row r="6" spans="1:9" x14ac:dyDescent="0.25">
      <c r="A6" s="46" t="s">
        <v>59</v>
      </c>
      <c r="B6" s="84"/>
      <c r="C6" s="26">
        <v>30540</v>
      </c>
      <c r="D6" s="41" t="s">
        <v>5</v>
      </c>
      <c r="E6" s="46"/>
      <c r="F6" s="30">
        <v>405618</v>
      </c>
    </row>
    <row r="7" spans="1:9" x14ac:dyDescent="0.25">
      <c r="A7" s="61" t="s">
        <v>71</v>
      </c>
      <c r="B7" s="64"/>
      <c r="C7" s="28">
        <f>87678+71277-30680-16590</f>
        <v>111685</v>
      </c>
      <c r="D7" s="41"/>
      <c r="E7" s="61"/>
      <c r="F7" s="30"/>
    </row>
    <row r="8" spans="1:9" x14ac:dyDescent="0.25">
      <c r="A8" s="61" t="s">
        <v>3</v>
      </c>
      <c r="B8" s="64"/>
      <c r="C8" s="28">
        <v>9876</v>
      </c>
      <c r="D8" s="41"/>
      <c r="E8" s="61"/>
      <c r="F8" s="30"/>
    </row>
    <row r="9" spans="1:9" x14ac:dyDescent="0.25">
      <c r="A9" s="61" t="s">
        <v>50</v>
      </c>
      <c r="B9" s="64"/>
      <c r="C9" s="28">
        <f>24518+3551-20000</f>
        <v>8069</v>
      </c>
      <c r="D9" s="41" t="s">
        <v>74</v>
      </c>
      <c r="E9" s="61"/>
      <c r="F9" s="30"/>
      <c r="H9" s="119">
        <v>11</v>
      </c>
      <c r="I9" s="22">
        <v>384</v>
      </c>
    </row>
    <row r="10" spans="1:9" x14ac:dyDescent="0.25">
      <c r="A10" s="61" t="s">
        <v>60</v>
      </c>
      <c r="B10" s="64"/>
      <c r="C10" s="28"/>
      <c r="D10" s="41"/>
      <c r="E10" s="61"/>
      <c r="F10" s="30"/>
      <c r="H10" s="57">
        <v>12</v>
      </c>
      <c r="I10" s="22">
        <v>1650</v>
      </c>
    </row>
    <row r="11" spans="1:9" x14ac:dyDescent="0.25">
      <c r="A11" s="61" t="s">
        <v>51</v>
      </c>
      <c r="C11" s="28">
        <f>I14</f>
        <v>6725</v>
      </c>
      <c r="D11" s="41"/>
      <c r="E11" s="61"/>
      <c r="F11" s="30"/>
      <c r="H11" s="57">
        <v>1</v>
      </c>
      <c r="I11" s="22">
        <v>1624</v>
      </c>
    </row>
    <row r="12" spans="1:9" x14ac:dyDescent="0.25">
      <c r="A12" s="61" t="s">
        <v>49</v>
      </c>
      <c r="B12" s="41"/>
      <c r="C12" s="28">
        <f>703.07+177+177+17.7+17.7+188.8</f>
        <v>1281.2700000000002</v>
      </c>
      <c r="D12" s="41"/>
      <c r="E12" s="61"/>
      <c r="F12" s="30"/>
      <c r="H12" s="57">
        <v>2</v>
      </c>
      <c r="I12" s="22">
        <v>1468</v>
      </c>
    </row>
    <row r="13" spans="1:9" x14ac:dyDescent="0.25">
      <c r="A13" s="82" t="s">
        <v>2</v>
      </c>
      <c r="B13" s="41"/>
      <c r="C13" s="28">
        <f>E30</f>
        <v>39000</v>
      </c>
      <c r="D13" s="41"/>
      <c r="E13" s="61"/>
      <c r="F13" s="94"/>
      <c r="H13" s="57">
        <v>3</v>
      </c>
      <c r="I13" s="22">
        <v>1599</v>
      </c>
    </row>
    <row r="14" spans="1:9" x14ac:dyDescent="0.25">
      <c r="A14" s="61" t="s">
        <v>40</v>
      </c>
      <c r="B14" s="64"/>
      <c r="C14" s="28">
        <v>2345</v>
      </c>
      <c r="D14" s="41"/>
      <c r="E14" s="61"/>
      <c r="F14" s="30"/>
      <c r="I14" s="57">
        <f>SUM(I9:I13)</f>
        <v>6725</v>
      </c>
    </row>
    <row r="15" spans="1:9" x14ac:dyDescent="0.25">
      <c r="A15" s="61" t="s">
        <v>41</v>
      </c>
      <c r="B15" s="64"/>
      <c r="C15" s="28">
        <f>27452-23600</f>
        <v>3852</v>
      </c>
      <c r="D15" s="41"/>
      <c r="E15" s="61"/>
      <c r="F15" s="30"/>
    </row>
    <row r="16" spans="1:9" x14ac:dyDescent="0.25">
      <c r="A16" s="61" t="s">
        <v>52</v>
      </c>
      <c r="B16" s="64"/>
      <c r="C16" s="28">
        <v>8792</v>
      </c>
      <c r="D16" s="41"/>
      <c r="E16" s="61"/>
      <c r="F16" s="30"/>
    </row>
    <row r="17" spans="1:8" x14ac:dyDescent="0.25">
      <c r="A17" s="61" t="s">
        <v>4</v>
      </c>
      <c r="B17" s="64"/>
      <c r="C17" s="28">
        <v>9614</v>
      </c>
      <c r="D17" s="41"/>
      <c r="E17" s="61"/>
      <c r="F17" s="30"/>
    </row>
    <row r="18" spans="1:8" x14ac:dyDescent="0.25">
      <c r="A18" s="61" t="s">
        <v>39</v>
      </c>
      <c r="B18" s="64"/>
      <c r="C18" s="28">
        <v>23226</v>
      </c>
      <c r="D18" s="41"/>
      <c r="E18" s="61"/>
      <c r="F18" s="30"/>
    </row>
    <row r="19" spans="1:8" x14ac:dyDescent="0.25">
      <c r="A19" s="61"/>
      <c r="B19" s="64"/>
      <c r="C19" s="28"/>
      <c r="D19" s="41"/>
      <c r="E19" s="61"/>
      <c r="F19" s="30"/>
    </row>
    <row r="20" spans="1:8" x14ac:dyDescent="0.25">
      <c r="A20" s="71" t="s">
        <v>6</v>
      </c>
      <c r="B20" s="64"/>
      <c r="C20" s="85">
        <v>150613</v>
      </c>
      <c r="D20" s="41"/>
      <c r="E20" s="61"/>
      <c r="F20" s="30"/>
    </row>
    <row r="21" spans="1:8" x14ac:dyDescent="0.25">
      <c r="A21" s="61"/>
      <c r="B21" s="64"/>
      <c r="C21" s="27"/>
      <c r="D21" s="41"/>
      <c r="E21" s="61"/>
      <c r="F21" s="30"/>
    </row>
    <row r="22" spans="1:8" ht="15.75" thickBot="1" x14ac:dyDescent="0.3">
      <c r="A22" s="61"/>
      <c r="B22" s="64"/>
      <c r="C22" s="32">
        <f>SUM(C6:C21)</f>
        <v>405618.27</v>
      </c>
      <c r="D22" s="41"/>
      <c r="E22" s="61"/>
      <c r="F22" s="31">
        <f>SUM(F6:F21)</f>
        <v>405618</v>
      </c>
      <c r="G22" s="63">
        <f>C22-F22</f>
        <v>0.27000000001862645</v>
      </c>
    </row>
    <row r="23" spans="1:8" ht="15.75" thickTop="1" x14ac:dyDescent="0.25">
      <c r="A23" s="62"/>
      <c r="B23" s="86"/>
      <c r="C23" s="62"/>
      <c r="D23" s="56"/>
      <c r="E23" s="62"/>
      <c r="F23" s="95"/>
      <c r="H23" s="63"/>
    </row>
    <row r="24" spans="1:8" x14ac:dyDescent="0.25">
      <c r="F24" s="22"/>
    </row>
    <row r="25" spans="1:8" ht="15.75" x14ac:dyDescent="0.25">
      <c r="A25" s="138" t="s">
        <v>70</v>
      </c>
      <c r="B25" s="138"/>
      <c r="C25" s="138"/>
      <c r="D25" s="138"/>
      <c r="E25" s="138"/>
      <c r="F25" s="138"/>
    </row>
    <row r="26" spans="1:8" ht="6.75" customHeight="1" x14ac:dyDescent="0.25">
      <c r="A26" s="5"/>
      <c r="B26" s="5"/>
      <c r="C26" s="5"/>
      <c r="D26" s="5"/>
      <c r="E26" s="5"/>
      <c r="F26" s="5"/>
    </row>
    <row r="27" spans="1:8" s="66" customFormat="1" x14ac:dyDescent="0.25">
      <c r="A27" s="65" t="s">
        <v>7</v>
      </c>
      <c r="B27" s="65" t="s">
        <v>1</v>
      </c>
      <c r="C27" s="65" t="s">
        <v>1</v>
      </c>
      <c r="D27" s="65" t="s">
        <v>8</v>
      </c>
      <c r="E27" s="83" t="s">
        <v>1</v>
      </c>
      <c r="F27" s="65" t="s">
        <v>1</v>
      </c>
      <c r="G27" s="74"/>
    </row>
    <row r="28" spans="1:8" x14ac:dyDescent="0.25">
      <c r="A28" s="38" t="s">
        <v>15</v>
      </c>
      <c r="B28" s="26">
        <v>460320</v>
      </c>
      <c r="C28" s="26"/>
      <c r="D28" s="101" t="s">
        <v>16</v>
      </c>
      <c r="E28" s="33"/>
      <c r="F28" s="26"/>
    </row>
    <row r="29" spans="1:8" x14ac:dyDescent="0.25">
      <c r="A29" s="16" t="s">
        <v>55</v>
      </c>
      <c r="B29" s="28">
        <f>260780-63758</f>
        <v>197022</v>
      </c>
      <c r="C29" s="61"/>
      <c r="D29" s="102" t="s">
        <v>53</v>
      </c>
      <c r="E29" s="34">
        <v>260000</v>
      </c>
      <c r="F29" s="28"/>
    </row>
    <row r="30" spans="1:8" x14ac:dyDescent="0.25">
      <c r="A30" s="64" t="s">
        <v>14</v>
      </c>
      <c r="B30" s="27">
        <f>C20</f>
        <v>150613</v>
      </c>
      <c r="C30" s="28">
        <f>B28-B29+B30</f>
        <v>413911</v>
      </c>
      <c r="D30" s="94" t="s">
        <v>54</v>
      </c>
      <c r="E30" s="35">
        <f>ROUND(E29*15/100,0)</f>
        <v>39000</v>
      </c>
      <c r="F30" s="28">
        <f>E29-E30</f>
        <v>221000</v>
      </c>
    </row>
    <row r="31" spans="1:8" x14ac:dyDescent="0.25">
      <c r="A31" s="64"/>
      <c r="B31" s="28"/>
      <c r="C31" s="28"/>
      <c r="D31" s="102"/>
      <c r="E31" s="34"/>
      <c r="F31" s="28"/>
    </row>
    <row r="32" spans="1:8" x14ac:dyDescent="0.25">
      <c r="A32" s="105" t="s">
        <v>61</v>
      </c>
      <c r="B32" s="61"/>
      <c r="C32" s="61"/>
      <c r="D32" s="100" t="s">
        <v>42</v>
      </c>
      <c r="E32" s="36"/>
      <c r="F32" s="28"/>
    </row>
    <row r="33" spans="1:9" x14ac:dyDescent="0.25">
      <c r="A33" s="64" t="s">
        <v>73</v>
      </c>
      <c r="B33" s="28"/>
      <c r="C33" s="28">
        <v>201567</v>
      </c>
      <c r="D33" s="102" t="s">
        <v>17</v>
      </c>
      <c r="E33" s="36"/>
      <c r="F33" s="28">
        <f>624620-260780+82638+48000</f>
        <v>494478</v>
      </c>
    </row>
    <row r="34" spans="1:9" x14ac:dyDescent="0.25">
      <c r="A34" s="64" t="s">
        <v>64</v>
      </c>
      <c r="B34" s="28"/>
      <c r="C34" s="28">
        <f>240760-210600</f>
        <v>30160</v>
      </c>
      <c r="D34" s="102" t="s">
        <v>72</v>
      </c>
      <c r="E34" s="36"/>
      <c r="F34" s="28">
        <v>12760</v>
      </c>
    </row>
    <row r="35" spans="1:9" x14ac:dyDescent="0.25">
      <c r="A35" s="64" t="s">
        <v>38</v>
      </c>
      <c r="B35" s="28"/>
      <c r="C35" s="28">
        <v>82600</v>
      </c>
      <c r="D35" s="102"/>
      <c r="E35" s="36"/>
      <c r="F35" s="28"/>
      <c r="H35" s="57" t="s">
        <v>62</v>
      </c>
      <c r="I35" s="104">
        <f>SUM(F33:F36)</f>
        <v>507238</v>
      </c>
    </row>
    <row r="36" spans="1:9" x14ac:dyDescent="0.25">
      <c r="A36" s="64"/>
      <c r="B36" s="61"/>
      <c r="C36" s="61"/>
      <c r="D36" s="102"/>
      <c r="E36" s="36"/>
      <c r="F36" s="28"/>
      <c r="H36" s="57" t="s">
        <v>61</v>
      </c>
      <c r="I36" s="57">
        <f>SUM(C33:C35)</f>
        <v>314327</v>
      </c>
    </row>
    <row r="37" spans="1:9" x14ac:dyDescent="0.25">
      <c r="A37" s="64"/>
      <c r="B37" s="28"/>
      <c r="C37" s="28"/>
      <c r="D37" s="94"/>
      <c r="E37" s="36"/>
      <c r="F37" s="28"/>
      <c r="H37" s="57" t="s">
        <v>63</v>
      </c>
      <c r="I37" s="107">
        <f>I35/I36</f>
        <v>1.6137271058483682</v>
      </c>
    </row>
    <row r="38" spans="1:9" ht="15.75" thickBot="1" x14ac:dyDescent="0.3">
      <c r="A38" s="64"/>
      <c r="B38" s="28"/>
      <c r="C38" s="32">
        <f>SUM(C28:C37)</f>
        <v>728238</v>
      </c>
      <c r="D38" s="94"/>
      <c r="E38" s="36"/>
      <c r="F38" s="32">
        <f>SUM(F28:F37)</f>
        <v>728238</v>
      </c>
      <c r="G38" s="63">
        <f>C38-F38</f>
        <v>0</v>
      </c>
    </row>
    <row r="39" spans="1:9" ht="15.75" thickTop="1" x14ac:dyDescent="0.25">
      <c r="A39" s="17"/>
      <c r="B39" s="29"/>
      <c r="C39" s="62"/>
      <c r="D39" s="103"/>
      <c r="E39" s="37"/>
      <c r="F39" s="96"/>
    </row>
  </sheetData>
  <mergeCells count="3">
    <mergeCell ref="A2:F2"/>
    <mergeCell ref="A3:F3"/>
    <mergeCell ref="A25:F25"/>
  </mergeCells>
  <pageMargins left="0.61" right="0.33" top="0.4" bottom="0.34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view="pageBreakPreview" zoomScaleSheetLayoutView="100" workbookViewId="0">
      <selection activeCell="C3" sqref="C3:H10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6.7109375" style="1" bestFit="1" customWidth="1"/>
    <col min="4" max="6" width="9.140625" style="1"/>
    <col min="7" max="8" width="9.140625" style="1" bestFit="1" customWidth="1"/>
    <col min="9" max="16384" width="9.140625" style="1"/>
  </cols>
  <sheetData>
    <row r="1" spans="1:9" ht="18.75" x14ac:dyDescent="0.3">
      <c r="A1" s="127" t="s">
        <v>58</v>
      </c>
      <c r="B1" s="127"/>
      <c r="C1" s="127"/>
      <c r="D1" s="127"/>
      <c r="E1" s="127"/>
      <c r="F1" s="127"/>
      <c r="G1" s="127"/>
      <c r="H1" s="127"/>
    </row>
    <row r="3" spans="1:9" x14ac:dyDescent="0.25">
      <c r="A3" s="8" t="s">
        <v>34</v>
      </c>
      <c r="B3" s="8" t="s">
        <v>9</v>
      </c>
      <c r="C3" s="40" t="str">
        <f>'Comp AY 2018-19'!C3</f>
        <v>Sharonmegala Nadar</v>
      </c>
      <c r="D3" s="10"/>
      <c r="E3" s="10"/>
      <c r="F3" s="10"/>
      <c r="G3" s="10"/>
    </row>
    <row r="4" spans="1:9" x14ac:dyDescent="0.25">
      <c r="A4" s="9" t="s">
        <v>10</v>
      </c>
      <c r="B4" s="9" t="s">
        <v>9</v>
      </c>
      <c r="C4" s="141" t="str">
        <f>'Comp AY 2018-19'!C4:H4</f>
        <v>A/2 14 2/2, Laxmi Chawl, Anna Nagar, Kumbharwada Road, Dharavi, Mumbai - 400017.</v>
      </c>
      <c r="D4" s="141"/>
      <c r="E4" s="141"/>
      <c r="F4" s="141"/>
      <c r="G4" s="141"/>
      <c r="H4" s="141"/>
    </row>
    <row r="5" spans="1:9" x14ac:dyDescent="0.25">
      <c r="A5" s="8" t="s">
        <v>20</v>
      </c>
      <c r="B5" s="8" t="s">
        <v>9</v>
      </c>
      <c r="C5" s="18" t="str">
        <f>'Comp AY 2018-19'!C5</f>
        <v>AMPPN5191A</v>
      </c>
      <c r="D5" s="10"/>
      <c r="E5" s="10"/>
      <c r="F5" s="10"/>
      <c r="G5" s="10"/>
    </row>
    <row r="6" spans="1:9" x14ac:dyDescent="0.25">
      <c r="A6" s="8" t="s">
        <v>21</v>
      </c>
      <c r="B6" s="9" t="s">
        <v>9</v>
      </c>
      <c r="C6" s="19">
        <f>'Comp AY 2018-19'!C6</f>
        <v>24855</v>
      </c>
      <c r="D6" s="10"/>
      <c r="E6" s="10"/>
      <c r="F6" s="10"/>
      <c r="G6" s="10"/>
    </row>
    <row r="7" spans="1:9" x14ac:dyDescent="0.25">
      <c r="A7" s="8" t="s">
        <v>11</v>
      </c>
      <c r="B7" s="9" t="s">
        <v>9</v>
      </c>
      <c r="C7" s="10" t="s">
        <v>12</v>
      </c>
      <c r="D7" s="10"/>
      <c r="E7" s="10"/>
      <c r="F7" s="10"/>
      <c r="G7" s="10"/>
    </row>
    <row r="8" spans="1:9" x14ac:dyDescent="0.25">
      <c r="A8" s="8" t="s">
        <v>22</v>
      </c>
      <c r="B8" s="9" t="s">
        <v>9</v>
      </c>
      <c r="C8" s="10" t="s">
        <v>56</v>
      </c>
      <c r="D8" s="10"/>
      <c r="E8" s="10"/>
      <c r="F8" s="10"/>
      <c r="G8" s="10"/>
    </row>
    <row r="9" spans="1:9" x14ac:dyDescent="0.25">
      <c r="A9" s="8" t="s">
        <v>23</v>
      </c>
      <c r="B9" s="9" t="s">
        <v>9</v>
      </c>
      <c r="C9" s="10" t="s">
        <v>44</v>
      </c>
      <c r="D9" s="10"/>
      <c r="E9" s="10"/>
      <c r="F9" s="10"/>
      <c r="G9" s="10"/>
    </row>
    <row r="10" spans="1:9" x14ac:dyDescent="0.25">
      <c r="A10" s="8" t="s">
        <v>13</v>
      </c>
      <c r="B10" s="9" t="s">
        <v>9</v>
      </c>
      <c r="C10" s="11">
        <v>43312</v>
      </c>
      <c r="D10" s="10"/>
      <c r="E10" s="10"/>
      <c r="F10" s="10"/>
      <c r="G10" s="10"/>
    </row>
    <row r="12" spans="1:9" ht="18.75" x14ac:dyDescent="0.3">
      <c r="A12" s="127" t="s">
        <v>57</v>
      </c>
      <c r="B12" s="127"/>
      <c r="C12" s="127"/>
      <c r="D12" s="127"/>
      <c r="E12" s="127"/>
      <c r="F12" s="127"/>
      <c r="G12" s="127"/>
      <c r="H12" s="127"/>
    </row>
    <row r="13" spans="1:9" x14ac:dyDescent="0.25">
      <c r="A13" s="142" t="s">
        <v>0</v>
      </c>
      <c r="B13" s="142"/>
      <c r="C13" s="142"/>
      <c r="D13" s="142"/>
      <c r="E13" s="6" t="s">
        <v>1</v>
      </c>
      <c r="F13" s="6" t="s">
        <v>1</v>
      </c>
      <c r="G13" s="6" t="s">
        <v>1</v>
      </c>
      <c r="H13" s="6" t="s">
        <v>1</v>
      </c>
      <c r="I13" s="8"/>
    </row>
    <row r="14" spans="1:9" x14ac:dyDescent="0.25">
      <c r="A14" s="129" t="s">
        <v>24</v>
      </c>
      <c r="B14" s="130"/>
      <c r="C14" s="130"/>
      <c r="D14" s="130"/>
      <c r="G14" s="2"/>
      <c r="H14" s="13"/>
    </row>
    <row r="15" spans="1:9" x14ac:dyDescent="0.25">
      <c r="A15" s="139" t="str">
        <f>'Comp AY 2018-19'!A15:D15</f>
        <v>Garments Business</v>
      </c>
      <c r="B15" s="140"/>
      <c r="C15" s="140"/>
      <c r="D15" s="140"/>
      <c r="G15" s="23">
        <f>'CMA DATA'!C21</f>
        <v>67936.05</v>
      </c>
      <c r="H15" s="24"/>
    </row>
    <row r="16" spans="1:9" x14ac:dyDescent="0.25">
      <c r="A16" s="139" t="s">
        <v>26</v>
      </c>
      <c r="B16" s="140"/>
      <c r="C16" s="140"/>
      <c r="D16" s="140"/>
      <c r="G16" s="25" t="s">
        <v>27</v>
      </c>
      <c r="H16" s="25">
        <f>G15</f>
        <v>67936.05</v>
      </c>
    </row>
    <row r="17" spans="1:10" x14ac:dyDescent="0.25">
      <c r="A17" s="139"/>
      <c r="B17" s="140"/>
      <c r="C17" s="140"/>
      <c r="D17" s="140"/>
      <c r="G17" s="23"/>
      <c r="H17" s="24"/>
    </row>
    <row r="18" spans="1:10" x14ac:dyDescent="0.25">
      <c r="A18" s="129" t="s">
        <v>28</v>
      </c>
      <c r="B18" s="130"/>
      <c r="C18" s="130"/>
      <c r="D18" s="130"/>
      <c r="G18" s="23">
        <f>H16</f>
        <v>67936.05</v>
      </c>
      <c r="H18" s="24"/>
    </row>
    <row r="19" spans="1:10" x14ac:dyDescent="0.25">
      <c r="A19" s="139" t="s">
        <v>29</v>
      </c>
      <c r="B19" s="140"/>
      <c r="C19" s="140"/>
      <c r="D19" s="140"/>
      <c r="G19" s="25">
        <v>45760</v>
      </c>
      <c r="H19" s="25">
        <f>G18-G19</f>
        <v>22176.050000000003</v>
      </c>
    </row>
    <row r="20" spans="1:10" x14ac:dyDescent="0.25">
      <c r="A20" s="139"/>
      <c r="B20" s="140"/>
      <c r="C20" s="140"/>
      <c r="D20" s="140"/>
      <c r="G20" s="23"/>
      <c r="H20" s="24"/>
    </row>
    <row r="21" spans="1:10" x14ac:dyDescent="0.25">
      <c r="A21" s="129" t="s">
        <v>30</v>
      </c>
      <c r="B21" s="130"/>
      <c r="C21" s="130"/>
      <c r="D21" s="130"/>
      <c r="G21" s="23"/>
      <c r="H21" s="24">
        <f>H19</f>
        <v>22176.050000000003</v>
      </c>
      <c r="J21" s="1">
        <f>250000*5/100</f>
        <v>12500</v>
      </c>
    </row>
    <row r="22" spans="1:10" x14ac:dyDescent="0.25">
      <c r="A22" s="139"/>
      <c r="B22" s="140"/>
      <c r="C22" s="140"/>
      <c r="D22" s="140"/>
      <c r="G22" s="23"/>
      <c r="H22" s="24"/>
      <c r="J22" s="99">
        <f>72544*20/100</f>
        <v>14508.8</v>
      </c>
    </row>
    <row r="23" spans="1:10" x14ac:dyDescent="0.25">
      <c r="A23" s="136" t="s">
        <v>35</v>
      </c>
      <c r="B23" s="137"/>
      <c r="C23" s="137"/>
      <c r="D23" s="137"/>
      <c r="E23" s="51"/>
      <c r="F23" s="51"/>
      <c r="G23" s="52"/>
      <c r="H23" s="53">
        <v>27009</v>
      </c>
    </row>
    <row r="24" spans="1:10" x14ac:dyDescent="0.25">
      <c r="A24" s="14"/>
      <c r="B24" s="12"/>
      <c r="C24" s="12"/>
      <c r="D24" s="12"/>
      <c r="E24" s="41"/>
      <c r="F24" s="41"/>
      <c r="G24" s="48"/>
      <c r="H24" s="49"/>
    </row>
    <row r="25" spans="1:10" x14ac:dyDescent="0.25">
      <c r="A25" s="132" t="s">
        <v>31</v>
      </c>
      <c r="B25" s="133"/>
      <c r="C25" s="133"/>
      <c r="D25" s="133"/>
      <c r="E25" s="41"/>
      <c r="F25" s="41"/>
      <c r="G25" s="50" t="s">
        <v>27</v>
      </c>
      <c r="H25" s="50">
        <f>H23</f>
        <v>27009</v>
      </c>
    </row>
    <row r="26" spans="1:10" x14ac:dyDescent="0.25">
      <c r="A26" s="132"/>
      <c r="B26" s="133"/>
      <c r="C26" s="133"/>
      <c r="D26" s="133"/>
      <c r="E26" s="41"/>
      <c r="F26" s="41"/>
      <c r="G26" s="48"/>
      <c r="H26" s="49"/>
    </row>
    <row r="27" spans="1:10" x14ac:dyDescent="0.25">
      <c r="A27" s="129" t="s">
        <v>36</v>
      </c>
      <c r="B27" s="130"/>
      <c r="C27" s="130"/>
      <c r="D27" s="130"/>
      <c r="E27" s="41"/>
      <c r="F27" s="41"/>
      <c r="G27" s="48"/>
      <c r="H27" s="49"/>
    </row>
    <row r="28" spans="1:10" x14ac:dyDescent="0.25">
      <c r="A28" s="91" t="s">
        <v>32</v>
      </c>
      <c r="B28" s="90"/>
      <c r="C28" s="90"/>
      <c r="D28" s="90"/>
      <c r="E28" s="41"/>
      <c r="F28" s="41"/>
      <c r="G28" s="77">
        <f>H25*2/100</f>
        <v>540.17999999999995</v>
      </c>
      <c r="H28" s="49"/>
    </row>
    <row r="29" spans="1:10" x14ac:dyDescent="0.25">
      <c r="A29" s="132" t="s">
        <v>33</v>
      </c>
      <c r="B29" s="133"/>
      <c r="C29" s="133"/>
      <c r="D29" s="133"/>
      <c r="E29" s="41"/>
      <c r="F29" s="41"/>
      <c r="G29" s="78">
        <f>H25*1/100</f>
        <v>270.08999999999997</v>
      </c>
      <c r="H29" s="79">
        <f>G29+G28</f>
        <v>810.27</v>
      </c>
    </row>
    <row r="30" spans="1:10" x14ac:dyDescent="0.25">
      <c r="A30" s="91"/>
      <c r="B30" s="92"/>
      <c r="C30" s="92"/>
      <c r="D30" s="92"/>
      <c r="E30" s="41"/>
      <c r="F30" s="41"/>
      <c r="G30" s="48"/>
      <c r="H30" s="49"/>
    </row>
    <row r="31" spans="1:10" x14ac:dyDescent="0.25">
      <c r="A31" s="89" t="s">
        <v>37</v>
      </c>
      <c r="B31" s="92"/>
      <c r="C31" s="92"/>
      <c r="D31" s="92"/>
      <c r="E31" s="41"/>
      <c r="F31" s="41"/>
      <c r="G31" s="55"/>
      <c r="H31" s="80">
        <f>H29+H25</f>
        <v>27819.27</v>
      </c>
    </row>
    <row r="32" spans="1:10" x14ac:dyDescent="0.25">
      <c r="A32" s="132"/>
      <c r="B32" s="133"/>
      <c r="C32" s="133"/>
      <c r="D32" s="133"/>
      <c r="E32" s="41"/>
      <c r="F32" s="41"/>
      <c r="G32" s="48"/>
      <c r="H32" s="49"/>
    </row>
    <row r="33" spans="1:8" x14ac:dyDescent="0.25">
      <c r="A33" s="89" t="s">
        <v>46</v>
      </c>
      <c r="B33" s="92"/>
      <c r="C33" s="92"/>
      <c r="D33" s="92"/>
      <c r="E33" s="41"/>
      <c r="F33" s="41"/>
      <c r="G33" s="48"/>
      <c r="H33" s="49">
        <v>35000</v>
      </c>
    </row>
    <row r="34" spans="1:8" x14ac:dyDescent="0.25">
      <c r="A34" s="91"/>
      <c r="B34" s="92"/>
      <c r="C34" s="92"/>
      <c r="D34" s="92"/>
      <c r="E34" s="41"/>
      <c r="F34" s="41"/>
      <c r="G34" s="48"/>
      <c r="H34" s="49"/>
    </row>
    <row r="35" spans="1:8" x14ac:dyDescent="0.25">
      <c r="A35" s="134" t="s">
        <v>47</v>
      </c>
      <c r="B35" s="135"/>
      <c r="C35" s="135"/>
      <c r="D35" s="135"/>
      <c r="E35" s="56"/>
      <c r="F35" s="56"/>
      <c r="G35" s="50"/>
      <c r="H35" s="81">
        <f>H33-H31</f>
        <v>7180.73</v>
      </c>
    </row>
  </sheetData>
  <mergeCells count="20">
    <mergeCell ref="A25:D25"/>
    <mergeCell ref="A26:D26"/>
    <mergeCell ref="A27:D27"/>
    <mergeCell ref="A29:D29"/>
    <mergeCell ref="A35:D35"/>
    <mergeCell ref="A32:D32"/>
    <mergeCell ref="A22:D22"/>
    <mergeCell ref="A23:D23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tabSelected="1" view="pageBreakPreview" zoomScale="110" zoomScaleNormal="115" zoomScaleSheetLayoutView="110" workbookViewId="0">
      <selection activeCell="A2" sqref="A2"/>
    </sheetView>
  </sheetViews>
  <sheetFormatPr defaultRowHeight="15" x14ac:dyDescent="0.25"/>
  <cols>
    <col min="1" max="1" width="56.5703125" customWidth="1"/>
    <col min="2" max="4" width="12.42578125" customWidth="1"/>
    <col min="7" max="7" width="9.28515625" bestFit="1" customWidth="1"/>
    <col min="8" max="9" width="10.28515625" bestFit="1" customWidth="1"/>
  </cols>
  <sheetData>
    <row r="1" spans="1:4" ht="15.75" x14ac:dyDescent="0.25">
      <c r="A1" s="138" t="s">
        <v>82</v>
      </c>
      <c r="B1" s="138"/>
      <c r="C1" s="138"/>
      <c r="D1" s="138"/>
    </row>
    <row r="2" spans="1:4" ht="7.5" customHeight="1" x14ac:dyDescent="0.25">
      <c r="A2" s="5"/>
      <c r="B2" s="5"/>
      <c r="C2" s="5"/>
      <c r="D2" s="5"/>
    </row>
    <row r="3" spans="1:4" s="68" customFormat="1" x14ac:dyDescent="0.25">
      <c r="A3" s="143" t="s">
        <v>78</v>
      </c>
      <c r="B3" s="69" t="s">
        <v>80</v>
      </c>
      <c r="C3" s="69" t="s">
        <v>67</v>
      </c>
      <c r="D3" s="69" t="s">
        <v>81</v>
      </c>
    </row>
    <row r="4" spans="1:4" s="68" customFormat="1" x14ac:dyDescent="0.25">
      <c r="A4" s="144"/>
      <c r="B4" s="69" t="s">
        <v>76</v>
      </c>
      <c r="C4" s="69" t="s">
        <v>77</v>
      </c>
      <c r="D4" s="69" t="s">
        <v>77</v>
      </c>
    </row>
    <row r="5" spans="1:4" s="68" customFormat="1" x14ac:dyDescent="0.25">
      <c r="A5" s="145"/>
      <c r="B5" s="69" t="s">
        <v>1</v>
      </c>
      <c r="C5" s="65" t="s">
        <v>1</v>
      </c>
      <c r="D5" s="65" t="s">
        <v>1</v>
      </c>
    </row>
    <row r="6" spans="1:4" s="68" customFormat="1" x14ac:dyDescent="0.25">
      <c r="A6" s="61" t="s">
        <v>75</v>
      </c>
      <c r="B6" s="36">
        <v>1150700</v>
      </c>
      <c r="C6" s="28">
        <f>B6*130%</f>
        <v>1495910</v>
      </c>
      <c r="D6" s="28">
        <f>C6*130%</f>
        <v>1944683</v>
      </c>
    </row>
    <row r="7" spans="1:4" s="68" customFormat="1" ht="15.75" thickBot="1" x14ac:dyDescent="0.3">
      <c r="A7" s="61"/>
      <c r="B7" s="125">
        <f>SUM(B6:B6)</f>
        <v>1150700</v>
      </c>
      <c r="C7" s="125">
        <f>SUM(C6:C6)</f>
        <v>1495910</v>
      </c>
      <c r="D7" s="125">
        <f>SUM(D6:D6)</f>
        <v>1944683</v>
      </c>
    </row>
    <row r="8" spans="1:4" s="68" customFormat="1" ht="15.75" thickTop="1" x14ac:dyDescent="0.25">
      <c r="A8" s="62"/>
      <c r="B8" s="124"/>
      <c r="C8" s="27"/>
      <c r="D8" s="27"/>
    </row>
    <row r="9" spans="1:4" x14ac:dyDescent="0.25">
      <c r="A9" s="61" t="s">
        <v>59</v>
      </c>
      <c r="B9" s="36">
        <f>'FY 2017-18'!C6*225%</f>
        <v>68715</v>
      </c>
      <c r="C9" s="36">
        <f>B9*130%</f>
        <v>89329.5</v>
      </c>
      <c r="D9" s="36">
        <f>C9*130%</f>
        <v>116128.35</v>
      </c>
    </row>
    <row r="10" spans="1:4" x14ac:dyDescent="0.25">
      <c r="A10" s="61" t="s">
        <v>71</v>
      </c>
      <c r="B10" s="36">
        <f>'FY 2017-18'!C7*225%</f>
        <v>251291.25</v>
      </c>
      <c r="C10" s="36">
        <f t="shared" ref="C10:D23" si="0">B10*130%</f>
        <v>326678.625</v>
      </c>
      <c r="D10" s="36">
        <f t="shared" si="0"/>
        <v>424682.21250000002</v>
      </c>
    </row>
    <row r="11" spans="1:4" x14ac:dyDescent="0.25">
      <c r="A11" s="61" t="s">
        <v>3</v>
      </c>
      <c r="B11" s="36">
        <f>'FY 2017-18'!C8*225%</f>
        <v>22221</v>
      </c>
      <c r="C11" s="36">
        <f t="shared" si="0"/>
        <v>28887.3</v>
      </c>
      <c r="D11" s="36">
        <f t="shared" si="0"/>
        <v>37553.49</v>
      </c>
    </row>
    <row r="12" spans="1:4" x14ac:dyDescent="0.25">
      <c r="A12" s="61" t="s">
        <v>50</v>
      </c>
      <c r="B12" s="36">
        <f>'FY 2017-18'!C9*225%</f>
        <v>18155.25</v>
      </c>
      <c r="C12" s="36">
        <f t="shared" si="0"/>
        <v>23601.825000000001</v>
      </c>
      <c r="D12" s="36">
        <f t="shared" si="0"/>
        <v>30682.372500000001</v>
      </c>
    </row>
    <row r="13" spans="1:4" x14ac:dyDescent="0.25">
      <c r="A13" s="61" t="s">
        <v>60</v>
      </c>
      <c r="B13" s="36"/>
      <c r="C13" s="36"/>
      <c r="D13" s="36"/>
    </row>
    <row r="14" spans="1:4" x14ac:dyDescent="0.25">
      <c r="A14" s="61" t="s">
        <v>51</v>
      </c>
      <c r="B14" s="36">
        <f>'FY 2017-18'!C11*225%</f>
        <v>15131.25</v>
      </c>
      <c r="C14" s="36">
        <f t="shared" si="0"/>
        <v>19670.625</v>
      </c>
      <c r="D14" s="36">
        <f t="shared" si="0"/>
        <v>25571.8125</v>
      </c>
    </row>
    <row r="15" spans="1:4" x14ac:dyDescent="0.25">
      <c r="A15" s="61" t="s">
        <v>49</v>
      </c>
      <c r="B15" s="36">
        <f>'FY 2017-18'!C12*225%</f>
        <v>2882.8575000000005</v>
      </c>
      <c r="C15" s="36">
        <f t="shared" si="0"/>
        <v>3747.714750000001</v>
      </c>
      <c r="D15" s="36">
        <f t="shared" si="0"/>
        <v>4872.0291750000015</v>
      </c>
    </row>
    <row r="16" spans="1:4" x14ac:dyDescent="0.25">
      <c r="A16" s="82" t="s">
        <v>2</v>
      </c>
      <c r="B16" s="36">
        <f>B46</f>
        <v>71738.7</v>
      </c>
      <c r="C16" s="36">
        <f t="shared" ref="C16:D16" si="1">C46</f>
        <v>102589.515</v>
      </c>
      <c r="D16" s="36">
        <f t="shared" si="1"/>
        <v>200049.55424999996</v>
      </c>
    </row>
    <row r="17" spans="1:4" x14ac:dyDescent="0.25">
      <c r="A17" s="61" t="s">
        <v>40</v>
      </c>
      <c r="B17" s="36">
        <f>'FY 2017-18'!C14*225%</f>
        <v>5276.25</v>
      </c>
      <c r="C17" s="36">
        <f>B17*130%</f>
        <v>6859.125</v>
      </c>
      <c r="D17" s="36">
        <f>C17*130%</f>
        <v>8916.8625000000011</v>
      </c>
    </row>
    <row r="18" spans="1:4" x14ac:dyDescent="0.25">
      <c r="A18" s="61" t="s">
        <v>41</v>
      </c>
      <c r="B18" s="36">
        <f>'FY 2017-18'!C15*225%</f>
        <v>8667</v>
      </c>
      <c r="C18" s="36">
        <f t="shared" si="0"/>
        <v>11267.1</v>
      </c>
      <c r="D18" s="36">
        <f t="shared" si="0"/>
        <v>14647.230000000001</v>
      </c>
    </row>
    <row r="19" spans="1:4" x14ac:dyDescent="0.25">
      <c r="A19" s="61" t="s">
        <v>52</v>
      </c>
      <c r="B19" s="36">
        <f>'FY 2017-18'!C16*225%</f>
        <v>19782</v>
      </c>
      <c r="C19" s="36">
        <f t="shared" si="0"/>
        <v>25716.600000000002</v>
      </c>
      <c r="D19" s="36">
        <f t="shared" si="0"/>
        <v>33431.58</v>
      </c>
    </row>
    <row r="20" spans="1:4" x14ac:dyDescent="0.25">
      <c r="A20" s="61" t="s">
        <v>4</v>
      </c>
      <c r="B20" s="36">
        <f>'FY 2017-18'!C17*225%</f>
        <v>21631.5</v>
      </c>
      <c r="C20" s="36">
        <f t="shared" si="0"/>
        <v>28120.95</v>
      </c>
      <c r="D20" s="36">
        <f t="shared" si="0"/>
        <v>36557.235000000001</v>
      </c>
    </row>
    <row r="21" spans="1:4" x14ac:dyDescent="0.25">
      <c r="A21" s="61" t="s">
        <v>39</v>
      </c>
      <c r="B21" s="36">
        <f>'FY 2017-18'!C18*225%</f>
        <v>52258.5</v>
      </c>
      <c r="C21" s="36">
        <f t="shared" si="0"/>
        <v>67936.05</v>
      </c>
      <c r="D21" s="36">
        <f t="shared" si="0"/>
        <v>88316.865000000005</v>
      </c>
    </row>
    <row r="22" spans="1:4" x14ac:dyDescent="0.25">
      <c r="A22" s="61"/>
      <c r="B22" s="30"/>
      <c r="C22" s="30"/>
      <c r="D22" s="30"/>
    </row>
    <row r="23" spans="1:4" x14ac:dyDescent="0.25">
      <c r="A23" s="71" t="s">
        <v>6</v>
      </c>
      <c r="B23" s="121">
        <f>B7-(SUM(B9:B21))</f>
        <v>592949.4425</v>
      </c>
      <c r="C23" s="121">
        <f t="shared" si="0"/>
        <v>770834.27525000006</v>
      </c>
      <c r="D23" s="121">
        <f t="shared" si="0"/>
        <v>1002084.5578250001</v>
      </c>
    </row>
    <row r="24" spans="1:4" x14ac:dyDescent="0.25">
      <c r="A24" s="71"/>
      <c r="B24" s="30"/>
      <c r="C24" s="30"/>
      <c r="D24" s="30"/>
    </row>
    <row r="25" spans="1:4" ht="15.75" thickBot="1" x14ac:dyDescent="0.3">
      <c r="A25" s="3"/>
      <c r="B25" s="31">
        <f>SUM(B9:B24)</f>
        <v>1150700</v>
      </c>
      <c r="C25" s="31">
        <f>SUM(C9:C24)</f>
        <v>1505239.2050000001</v>
      </c>
      <c r="D25" s="31">
        <f>SUM(D9:D24)</f>
        <v>2023494.1512500001</v>
      </c>
    </row>
    <row r="26" spans="1:4" ht="15.75" thickTop="1" x14ac:dyDescent="0.25">
      <c r="A26" s="4"/>
      <c r="B26" s="70"/>
      <c r="C26" s="97"/>
      <c r="D26" s="98"/>
    </row>
    <row r="28" spans="1:4" ht="6" customHeight="1" x14ac:dyDescent="0.25">
      <c r="A28" s="5"/>
      <c r="B28" s="5"/>
      <c r="C28" s="5"/>
      <c r="D28" s="5"/>
    </row>
    <row r="29" spans="1:4" s="68" customFormat="1" x14ac:dyDescent="0.25">
      <c r="A29" s="143" t="s">
        <v>79</v>
      </c>
      <c r="B29" s="69" t="s">
        <v>80</v>
      </c>
      <c r="C29" s="69" t="s">
        <v>67</v>
      </c>
      <c r="D29" s="69" t="s">
        <v>81</v>
      </c>
    </row>
    <row r="30" spans="1:4" s="68" customFormat="1" x14ac:dyDescent="0.25">
      <c r="A30" s="144"/>
      <c r="B30" s="69" t="s">
        <v>76</v>
      </c>
      <c r="C30" s="69" t="s">
        <v>77</v>
      </c>
      <c r="D30" s="69" t="s">
        <v>77</v>
      </c>
    </row>
    <row r="31" spans="1:4" s="68" customFormat="1" x14ac:dyDescent="0.25">
      <c r="A31" s="145"/>
      <c r="B31" s="65" t="s">
        <v>1</v>
      </c>
      <c r="C31" s="65" t="s">
        <v>1</v>
      </c>
      <c r="D31" s="65" t="s">
        <v>1</v>
      </c>
    </row>
    <row r="32" spans="1:4" s="68" customFormat="1" x14ac:dyDescent="0.25">
      <c r="A32" s="122"/>
      <c r="B32" s="120"/>
      <c r="C32" s="120"/>
      <c r="D32" s="123"/>
    </row>
    <row r="33" spans="1:9" x14ac:dyDescent="0.25">
      <c r="A33" s="87" t="s">
        <v>15</v>
      </c>
      <c r="B33" s="28">
        <f>'FY 2017-18'!C30</f>
        <v>413911</v>
      </c>
      <c r="C33" s="28">
        <f>B36</f>
        <v>625583.4425</v>
      </c>
      <c r="D33" s="30">
        <f>C36</f>
        <v>833851.71775000007</v>
      </c>
    </row>
    <row r="34" spans="1:9" x14ac:dyDescent="0.25">
      <c r="A34" s="16" t="s">
        <v>55</v>
      </c>
      <c r="B34" s="28">
        <f>223460+157817</f>
        <v>381277</v>
      </c>
      <c r="C34" s="28">
        <f>376500+186066</f>
        <v>562566</v>
      </c>
      <c r="D34" s="30">
        <f>354321+275600</f>
        <v>629921</v>
      </c>
    </row>
    <row r="35" spans="1:9" x14ac:dyDescent="0.25">
      <c r="A35" s="64" t="s">
        <v>14</v>
      </c>
      <c r="B35" s="27">
        <f>B23</f>
        <v>592949.4425</v>
      </c>
      <c r="C35" s="27">
        <f t="shared" ref="C35:D35" si="2">C23</f>
        <v>770834.27525000006</v>
      </c>
      <c r="D35" s="27">
        <f t="shared" si="2"/>
        <v>1002084.5578250001</v>
      </c>
    </row>
    <row r="36" spans="1:9" x14ac:dyDescent="0.25">
      <c r="A36" s="64"/>
      <c r="B36" s="28">
        <f>B33-B34+B35</f>
        <v>625583.4425</v>
      </c>
      <c r="C36" s="28">
        <f t="shared" ref="C36:D36" si="3">C33-C34+C35</f>
        <v>833851.71775000007</v>
      </c>
      <c r="D36" s="28">
        <f t="shared" si="3"/>
        <v>1206015.2755750003</v>
      </c>
    </row>
    <row r="37" spans="1:9" x14ac:dyDescent="0.25">
      <c r="A37" s="64"/>
      <c r="B37" s="28"/>
      <c r="C37" s="28"/>
      <c r="D37" s="30"/>
    </row>
    <row r="38" spans="1:9" x14ac:dyDescent="0.25">
      <c r="A38" s="105" t="s">
        <v>61</v>
      </c>
      <c r="B38" s="28"/>
      <c r="C38" s="28"/>
      <c r="D38" s="30"/>
    </row>
    <row r="39" spans="1:9" x14ac:dyDescent="0.25">
      <c r="A39" s="64" t="s">
        <v>73</v>
      </c>
      <c r="B39" s="28">
        <v>202658</v>
      </c>
      <c r="C39" s="28">
        <v>270700</v>
      </c>
      <c r="D39" s="30">
        <v>354680</v>
      </c>
    </row>
    <row r="40" spans="1:9" x14ac:dyDescent="0.25">
      <c r="A40" s="64" t="s">
        <v>64</v>
      </c>
      <c r="B40" s="28">
        <f>382046-340570</f>
        <v>41476</v>
      </c>
      <c r="C40" s="28">
        <v>80765</v>
      </c>
      <c r="D40" s="30">
        <v>346325</v>
      </c>
    </row>
    <row r="41" spans="1:9" x14ac:dyDescent="0.25">
      <c r="A41" s="64" t="s">
        <v>38</v>
      </c>
      <c r="B41" s="28">
        <v>13670</v>
      </c>
      <c r="C41" s="28">
        <v>14520</v>
      </c>
      <c r="D41" s="30">
        <v>18765</v>
      </c>
    </row>
    <row r="42" spans="1:9" ht="15.75" thickBot="1" x14ac:dyDescent="0.3">
      <c r="A42" s="64"/>
      <c r="B42" s="32">
        <f>SUM(B36:B41)</f>
        <v>883387.4425</v>
      </c>
      <c r="C42" s="32">
        <f t="shared" ref="C42:D42" si="4">SUM(C36:C41)</f>
        <v>1199836.7177500001</v>
      </c>
      <c r="D42" s="32">
        <f t="shared" si="4"/>
        <v>1925785.2755750003</v>
      </c>
    </row>
    <row r="43" spans="1:9" ht="15.75" thickTop="1" x14ac:dyDescent="0.25">
      <c r="A43" s="64"/>
      <c r="B43" s="27"/>
      <c r="C43" s="27"/>
      <c r="D43" s="30"/>
    </row>
    <row r="44" spans="1:9" x14ac:dyDescent="0.25">
      <c r="A44" s="39" t="s">
        <v>16</v>
      </c>
      <c r="B44" s="26"/>
      <c r="C44" s="26"/>
      <c r="D44" s="26"/>
    </row>
    <row r="45" spans="1:9" x14ac:dyDescent="0.25">
      <c r="A45" s="82" t="s">
        <v>53</v>
      </c>
      <c r="B45" s="28">
        <f>'FY 2017-18'!F30+257258</f>
        <v>478258</v>
      </c>
      <c r="C45" s="28">
        <f>(B45*145%)-9544</f>
        <v>683930.1</v>
      </c>
      <c r="D45" s="126">
        <f>C45*195%</f>
        <v>1333663.6949999998</v>
      </c>
    </row>
    <row r="46" spans="1:9" x14ac:dyDescent="0.25">
      <c r="A46" s="61" t="s">
        <v>54</v>
      </c>
      <c r="B46" s="27">
        <f>B45*15%</f>
        <v>71738.7</v>
      </c>
      <c r="C46" s="27">
        <f t="shared" ref="C46:D46" si="5">C45*15%</f>
        <v>102589.515</v>
      </c>
      <c r="D46" s="27">
        <f t="shared" si="5"/>
        <v>200049.55424999996</v>
      </c>
    </row>
    <row r="47" spans="1:9" x14ac:dyDescent="0.25">
      <c r="A47" s="61"/>
      <c r="B47" s="28">
        <f>B45-B46</f>
        <v>406519.3</v>
      </c>
      <c r="C47" s="28">
        <f t="shared" ref="C47:D47" si="6">C45-C46</f>
        <v>581340.58499999996</v>
      </c>
      <c r="D47" s="28">
        <f t="shared" si="6"/>
        <v>1133614.1407499998</v>
      </c>
    </row>
    <row r="48" spans="1:9" x14ac:dyDescent="0.25">
      <c r="A48" s="61"/>
      <c r="B48" s="28"/>
      <c r="C48" s="28"/>
      <c r="D48" s="28"/>
      <c r="G48" s="93" t="e">
        <f>B50+#REF!+B51</f>
        <v>#REF!</v>
      </c>
      <c r="H48" s="93" t="e">
        <f>C50+#REF!+C51</f>
        <v>#REF!</v>
      </c>
      <c r="I48" s="93" t="e">
        <f>D50+#REF!+D51</f>
        <v>#REF!</v>
      </c>
    </row>
    <row r="49" spans="1:9" x14ac:dyDescent="0.25">
      <c r="A49" s="88" t="s">
        <v>42</v>
      </c>
      <c r="B49" s="28"/>
      <c r="C49" s="28"/>
      <c r="D49" s="28"/>
      <c r="G49" s="93">
        <f>B40+B41</f>
        <v>55146</v>
      </c>
      <c r="H49" s="93">
        <f t="shared" ref="H49:I49" si="7">C40+C41</f>
        <v>95285</v>
      </c>
      <c r="I49" s="93">
        <f t="shared" si="7"/>
        <v>365090</v>
      </c>
    </row>
    <row r="50" spans="1:9" x14ac:dyDescent="0.25">
      <c r="A50" s="82" t="s">
        <v>17</v>
      </c>
      <c r="B50" s="28">
        <f>B6*40%</f>
        <v>460280</v>
      </c>
      <c r="C50" s="28">
        <f t="shared" ref="C50" si="8">C6*40%</f>
        <v>598364</v>
      </c>
      <c r="D50" s="28">
        <f>(D6*40%)-11874</f>
        <v>765999.20000000007</v>
      </c>
    </row>
    <row r="51" spans="1:9" x14ac:dyDescent="0.25">
      <c r="A51" s="82" t="s">
        <v>18</v>
      </c>
      <c r="B51" s="28">
        <f>'FY 2017-18'!F34*130%</f>
        <v>16588</v>
      </c>
      <c r="C51" s="28">
        <f>(B51*130%)-1432</f>
        <v>20132.400000000001</v>
      </c>
      <c r="D51" s="28">
        <f t="shared" ref="D51" si="9">C51*130%</f>
        <v>26172.120000000003</v>
      </c>
    </row>
    <row r="52" spans="1:9" ht="15.75" thickBot="1" x14ac:dyDescent="0.3">
      <c r="A52" s="61"/>
      <c r="B52" s="32">
        <f>SUM(B47:B51)</f>
        <v>883387.3</v>
      </c>
      <c r="C52" s="32">
        <f>SUM(C47:C51)</f>
        <v>1199836.9849999999</v>
      </c>
      <c r="D52" s="32">
        <f>SUM(D47:D51)</f>
        <v>1925785.4607500001</v>
      </c>
    </row>
    <row r="53" spans="1:9" ht="15.75" thickTop="1" x14ac:dyDescent="0.25">
      <c r="A53" s="7"/>
      <c r="B53" s="106"/>
      <c r="C53" s="4"/>
      <c r="D53" s="4"/>
    </row>
    <row r="54" spans="1:9" x14ac:dyDescent="0.25">
      <c r="B54" s="93">
        <f>B42-B52</f>
        <v>0.14249999995809048</v>
      </c>
      <c r="C54" s="93">
        <f>C42-C52</f>
        <v>-0.26724999980069697</v>
      </c>
      <c r="D54" s="93">
        <f>D42-D52</f>
        <v>-0.18517499975860119</v>
      </c>
    </row>
  </sheetData>
  <mergeCells count="3">
    <mergeCell ref="A29:A31"/>
    <mergeCell ref="A1:D1"/>
    <mergeCell ref="A3:A5"/>
  </mergeCells>
  <pageMargins left="0.6" right="0.31" top="0.3" bottom="0" header="0.3" footer="0.3"/>
  <pageSetup scale="97" orientation="portrait" r:id="rId1"/>
  <rowBreaks count="1" manualBreakCount="1">
    <brk id="53" max="3" man="1"/>
  </rowBreaks>
  <ignoredErrors>
    <ignoredError sqref="B36:D36 B52:D52" emptyCellReference="1"/>
    <ignoredError sqref="C16: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 AY 2018-19</vt:lpstr>
      <vt:lpstr>FY 2017-18</vt:lpstr>
      <vt:lpstr>Comp AY 2017-18</vt:lpstr>
      <vt:lpstr>CMA DATA</vt:lpstr>
      <vt:lpstr>'CMA DATA'!Print_Area</vt:lpstr>
      <vt:lpstr>'Comp AY 2017-18'!Print_Area</vt:lpstr>
      <vt:lpstr>'Comp AY 2018-19'!Print_Area</vt:lpstr>
      <vt:lpstr>'FY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2018-12-11T12:00:50Z</cp:lastPrinted>
  <dcterms:created xsi:type="dcterms:W3CDTF">2016-04-27T15:18:27Z</dcterms:created>
  <dcterms:modified xsi:type="dcterms:W3CDTF">2018-12-11T12:34:43Z</dcterms:modified>
</cp:coreProperties>
</file>